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755" firstSheet="3" activeTab="6"/>
  </bookViews>
  <sheets>
    <sheet name="OBLIGACIONES" sheetId="1" r:id="rId1"/>
    <sheet name="ORIGEN INGRESOS HOSP-" sheetId="2" r:id="rId2"/>
    <sheet name="SERVICIOS PRESTADOS" sheetId="8" r:id="rId3"/>
    <sheet name="COMPROMISIO DE DEUDA NUEVO" sheetId="10" r:id="rId4"/>
    <sheet name="DEUDA POR SUPLIDOR" sheetId="11" r:id="rId5"/>
    <sheet name="DEUDA POR FACTURA" sheetId="12" r:id="rId6"/>
    <sheet name="DEUDA POR ANTIGUEDAD" sheetId="13" r:id="rId7"/>
  </sheets>
  <externalReferences>
    <externalReference r:id="rId8"/>
    <externalReference r:id="rId9"/>
  </externalReferences>
  <definedNames>
    <definedName name="Años">[1]Hoja2!$J$4:$J$5</definedName>
    <definedName name="JULIA" localSheetId="2">#REF!</definedName>
    <definedName name="JULIA">#REF!</definedName>
    <definedName name="Meses">[1]Hoja2!$K$4:$K$15</definedName>
    <definedName name="NOMBRE" localSheetId="2">#REF!</definedName>
    <definedName name="NOMBRE">#REF!</definedName>
    <definedName name="ORS" localSheetId="2">#REF!</definedName>
    <definedName name="ORS">#REF!</definedName>
    <definedName name="Región">'[2]Criterios - No tocar'!$B$1:$K$1</definedName>
    <definedName name="Regiones">[1]Hoja2!$C$4:$C$12</definedName>
    <definedName name="Trimestre">'[2]Criterios - No tocar'!$M$2:$M$6</definedName>
  </definedNames>
  <calcPr calcId="144525"/>
</workbook>
</file>

<file path=xl/calcChain.xml><?xml version="1.0" encoding="utf-8"?>
<calcChain xmlns="http://schemas.openxmlformats.org/spreadsheetml/2006/main">
  <c r="E308" i="13" l="1"/>
  <c r="E307" i="13"/>
  <c r="E306" i="13"/>
  <c r="E305" i="13"/>
  <c r="E304" i="13"/>
  <c r="E303" i="13"/>
  <c r="E302" i="13"/>
  <c r="E301" i="13"/>
  <c r="E300" i="13"/>
  <c r="E299" i="13"/>
  <c r="E298" i="13"/>
  <c r="E297" i="13"/>
  <c r="E296" i="13"/>
  <c r="E295" i="13"/>
  <c r="E294" i="13"/>
  <c r="E293" i="13"/>
  <c r="E292" i="13"/>
  <c r="E291" i="13"/>
  <c r="E290" i="13"/>
  <c r="E289" i="13"/>
  <c r="E288" i="13"/>
  <c r="E287" i="13"/>
  <c r="E286" i="13"/>
  <c r="E285" i="13"/>
  <c r="E284" i="13"/>
  <c r="E283" i="13"/>
  <c r="E282" i="13"/>
  <c r="E281" i="13"/>
  <c r="E280" i="13"/>
  <c r="E279" i="13"/>
  <c r="E278" i="13"/>
  <c r="E277" i="13"/>
  <c r="E276" i="13"/>
  <c r="E275" i="13"/>
  <c r="E274" i="13"/>
  <c r="F273" i="13"/>
  <c r="E273" i="13"/>
  <c r="E272" i="13"/>
  <c r="E271" i="13"/>
  <c r="E270" i="13"/>
  <c r="E269" i="13"/>
  <c r="E268" i="13"/>
  <c r="E267" i="13"/>
  <c r="E266" i="13"/>
  <c r="E265" i="13"/>
  <c r="E264" i="13"/>
  <c r="F263" i="13"/>
  <c r="E263" i="13"/>
  <c r="F262" i="13"/>
  <c r="E262" i="13"/>
  <c r="F261" i="13"/>
  <c r="E261" i="13"/>
  <c r="F260" i="13"/>
  <c r="E260" i="13"/>
  <c r="E259" i="13"/>
  <c r="E258" i="13"/>
  <c r="E257" i="13"/>
  <c r="E256" i="13"/>
  <c r="E255" i="13"/>
  <c r="E254" i="13"/>
  <c r="E253" i="13"/>
  <c r="E252" i="13"/>
  <c r="E251" i="13"/>
  <c r="F250" i="13"/>
  <c r="E250" i="13"/>
  <c r="F249" i="13"/>
  <c r="E249" i="13" s="1"/>
  <c r="E248" i="13"/>
  <c r="F247" i="13"/>
  <c r="E247" i="13"/>
  <c r="F246" i="13"/>
  <c r="E246" i="13"/>
  <c r="F245" i="13"/>
  <c r="E245" i="13"/>
  <c r="E244" i="13"/>
  <c r="F243" i="13"/>
  <c r="E243" i="13"/>
  <c r="F242" i="13"/>
  <c r="E242" i="13" s="1"/>
  <c r="E241" i="13"/>
  <c r="F240" i="13"/>
  <c r="E240" i="13"/>
  <c r="F239" i="13"/>
  <c r="E239" i="13"/>
  <c r="F238" i="13"/>
  <c r="E238" i="13"/>
  <c r="E237" i="13"/>
  <c r="F236" i="13"/>
  <c r="E236" i="13"/>
  <c r="E235" i="13"/>
  <c r="F234" i="13"/>
  <c r="E234" i="13"/>
  <c r="F233" i="13"/>
  <c r="E233" i="13"/>
  <c r="E232" i="13"/>
  <c r="F231" i="13"/>
  <c r="E231" i="13"/>
  <c r="F230" i="13"/>
  <c r="E230" i="13" s="1"/>
  <c r="F229" i="13"/>
  <c r="E229" i="13"/>
  <c r="F228" i="13"/>
  <c r="E228" i="13" s="1"/>
  <c r="F227" i="13"/>
  <c r="E227" i="13"/>
  <c r="F226" i="13"/>
  <c r="E226" i="13" s="1"/>
  <c r="F225" i="13"/>
  <c r="E225" i="13"/>
  <c r="F224" i="13"/>
  <c r="E224" i="13" s="1"/>
  <c r="F223" i="13"/>
  <c r="E223" i="13"/>
  <c r="F222" i="13"/>
  <c r="E222" i="13" s="1"/>
  <c r="F221" i="13"/>
  <c r="E221" i="13"/>
  <c r="F220" i="13"/>
  <c r="E220" i="13" s="1"/>
  <c r="F219" i="13"/>
  <c r="E219" i="13"/>
  <c r="F218" i="13"/>
  <c r="E218" i="13" s="1"/>
  <c r="F217" i="13"/>
  <c r="E217" i="13"/>
  <c r="F216" i="13"/>
  <c r="E216" i="13" s="1"/>
  <c r="F215" i="13"/>
  <c r="E215" i="13"/>
  <c r="F214" i="13"/>
  <c r="E214" i="13" s="1"/>
  <c r="F213" i="13"/>
  <c r="E213" i="13"/>
  <c r="F212" i="13"/>
  <c r="E212" i="13" s="1"/>
  <c r="F211" i="13"/>
  <c r="E211" i="13"/>
  <c r="F210" i="13"/>
  <c r="E210" i="13" s="1"/>
  <c r="F209" i="13"/>
  <c r="E209" i="13"/>
  <c r="E208" i="13"/>
  <c r="F207" i="13"/>
  <c r="E207" i="13"/>
  <c r="F206" i="13"/>
  <c r="E206" i="13"/>
  <c r="F205" i="13"/>
  <c r="E205" i="13"/>
  <c r="E204" i="13"/>
  <c r="F203" i="13"/>
  <c r="E203" i="13" s="1"/>
  <c r="F202" i="13"/>
  <c r="E202" i="13"/>
  <c r="F201" i="13"/>
  <c r="E201" i="13" s="1"/>
  <c r="E200" i="13"/>
  <c r="F199" i="13"/>
  <c r="E199" i="13"/>
  <c r="F198" i="13"/>
  <c r="E198" i="13"/>
  <c r="F197" i="13"/>
  <c r="E197" i="13"/>
  <c r="F196" i="13"/>
  <c r="E196" i="13"/>
  <c r="G195" i="13"/>
  <c r="E195" i="13"/>
  <c r="E194" i="13"/>
  <c r="F193" i="13"/>
  <c r="E193" i="13"/>
  <c r="F192" i="13"/>
  <c r="E192" i="13" s="1"/>
  <c r="F191" i="13"/>
  <c r="E191" i="13"/>
  <c r="H190" i="13"/>
  <c r="E190" i="13" s="1"/>
  <c r="H189" i="13"/>
  <c r="E189" i="13"/>
  <c r="E188" i="13"/>
  <c r="E187" i="13"/>
  <c r="F186" i="13"/>
  <c r="E186" i="13"/>
  <c r="F185" i="13"/>
  <c r="E185" i="13" s="1"/>
  <c r="F184" i="13"/>
  <c r="E184" i="13"/>
  <c r="F183" i="13"/>
  <c r="E183" i="13" s="1"/>
  <c r="F182" i="13"/>
  <c r="E182" i="13"/>
  <c r="F181" i="13"/>
  <c r="E181" i="13" s="1"/>
  <c r="F180" i="13"/>
  <c r="E180" i="13"/>
  <c r="F179" i="13"/>
  <c r="E179" i="13" s="1"/>
  <c r="F178" i="13"/>
  <c r="E178" i="13"/>
  <c r="G177" i="13"/>
  <c r="E177" i="13" s="1"/>
  <c r="F176" i="13"/>
  <c r="E176" i="13"/>
  <c r="E175" i="13"/>
  <c r="F174" i="13"/>
  <c r="E174" i="13"/>
  <c r="F173" i="13"/>
  <c r="E173" i="13"/>
  <c r="F172" i="13"/>
  <c r="E172" i="13"/>
  <c r="F171" i="13"/>
  <c r="E171" i="13"/>
  <c r="F170" i="13"/>
  <c r="E170" i="13"/>
  <c r="F169" i="13"/>
  <c r="E169" i="13"/>
  <c r="E168" i="13"/>
  <c r="F167" i="13"/>
  <c r="E167" i="13"/>
  <c r="F166" i="13"/>
  <c r="E166" i="13" s="1"/>
  <c r="F165" i="13"/>
  <c r="E165" i="13"/>
  <c r="E164" i="13"/>
  <c r="E163" i="13"/>
  <c r="E162" i="13"/>
  <c r="E161" i="13"/>
  <c r="E160" i="13"/>
  <c r="E159" i="13"/>
  <c r="E158" i="13"/>
  <c r="E157" i="13"/>
  <c r="E156" i="13"/>
  <c r="F155" i="13"/>
  <c r="E155" i="13"/>
  <c r="E154" i="13"/>
  <c r="F153" i="13"/>
  <c r="E153" i="13" s="1"/>
  <c r="F152" i="13"/>
  <c r="E152" i="13"/>
  <c r="F151" i="13"/>
  <c r="E151" i="13" s="1"/>
  <c r="F150" i="13"/>
  <c r="E150" i="13"/>
  <c r="F149" i="13"/>
  <c r="E149" i="13" s="1"/>
  <c r="F148" i="13"/>
  <c r="E148" i="13"/>
  <c r="F147" i="13"/>
  <c r="E147" i="13" s="1"/>
  <c r="E146" i="13"/>
  <c r="E145" i="13"/>
  <c r="F144" i="13"/>
  <c r="E144" i="13" s="1"/>
  <c r="F143" i="13"/>
  <c r="E143" i="13"/>
  <c r="E142" i="13"/>
  <c r="F141" i="13"/>
  <c r="E141" i="13"/>
  <c r="F140" i="13"/>
  <c r="E140" i="13"/>
  <c r="E139" i="13"/>
  <c r="F138" i="13"/>
  <c r="E138" i="13"/>
  <c r="F137" i="13"/>
  <c r="E137" i="13" s="1"/>
  <c r="F136" i="13"/>
  <c r="E136" i="13"/>
  <c r="F135" i="13"/>
  <c r="E135" i="13" s="1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2" i="13"/>
  <c r="E121" i="13"/>
  <c r="F120" i="13"/>
  <c r="E120" i="13" s="1"/>
  <c r="F119" i="13"/>
  <c r="E119" i="13"/>
  <c r="E118" i="13"/>
  <c r="F117" i="13"/>
  <c r="E117" i="13"/>
  <c r="F116" i="13"/>
  <c r="E116" i="13"/>
  <c r="F115" i="13"/>
  <c r="E115" i="13"/>
  <c r="F114" i="13"/>
  <c r="E114" i="13"/>
  <c r="F113" i="13"/>
  <c r="E113" i="13"/>
  <c r="E112" i="13"/>
  <c r="E111" i="13"/>
  <c r="F110" i="13"/>
  <c r="E110" i="13"/>
  <c r="E109" i="13"/>
  <c r="F108" i="13"/>
  <c r="E108" i="13" s="1"/>
  <c r="F107" i="13"/>
  <c r="E107" i="13"/>
  <c r="F106" i="13"/>
  <c r="E106" i="13" s="1"/>
  <c r="F105" i="13"/>
  <c r="E105" i="13"/>
  <c r="F104" i="13"/>
  <c r="E104" i="13" s="1"/>
  <c r="F103" i="13"/>
  <c r="E103" i="13"/>
  <c r="F102" i="13"/>
  <c r="E102" i="13" s="1"/>
  <c r="E101" i="13"/>
  <c r="E100" i="13"/>
  <c r="E99" i="13"/>
  <c r="E98" i="13"/>
  <c r="F97" i="13"/>
  <c r="E97" i="13"/>
  <c r="F96" i="13"/>
  <c r="E96" i="13" s="1"/>
  <c r="E95" i="13"/>
  <c r="E94" i="13"/>
  <c r="E93" i="13"/>
  <c r="E92" i="13"/>
  <c r="E91" i="13"/>
  <c r="E90" i="13"/>
  <c r="E89" i="13"/>
  <c r="E88" i="13"/>
  <c r="E87" i="13"/>
  <c r="E86" i="13"/>
  <c r="E85" i="13"/>
  <c r="E84" i="13"/>
  <c r="E83" i="13"/>
  <c r="E82" i="13"/>
  <c r="E81" i="13"/>
  <c r="E80" i="13"/>
  <c r="F79" i="13"/>
  <c r="E79" i="13"/>
  <c r="F78" i="13"/>
  <c r="E78" i="13" s="1"/>
  <c r="E77" i="13"/>
  <c r="E76" i="13"/>
  <c r="E75" i="13"/>
  <c r="E74" i="13"/>
  <c r="E73" i="13"/>
  <c r="E72" i="13"/>
  <c r="E71" i="13"/>
  <c r="F70" i="13"/>
  <c r="E70" i="13"/>
  <c r="F69" i="13"/>
  <c r="E69" i="13"/>
  <c r="E68" i="13"/>
  <c r="E67" i="13"/>
  <c r="E66" i="13"/>
  <c r="E65" i="13"/>
  <c r="E64" i="13"/>
  <c r="E63" i="13"/>
  <c r="E62" i="13"/>
  <c r="E61" i="13"/>
  <c r="E60" i="13"/>
  <c r="F59" i="13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F46" i="13"/>
  <c r="E46" i="13" s="1"/>
  <c r="E45" i="13"/>
  <c r="E44" i="13"/>
  <c r="E43" i="13"/>
  <c r="E42" i="13"/>
  <c r="E41" i="13"/>
  <c r="F40" i="13"/>
  <c r="E40" i="13"/>
  <c r="E39" i="13"/>
  <c r="E38" i="13"/>
  <c r="E37" i="13"/>
  <c r="E36" i="13"/>
  <c r="E35" i="13"/>
  <c r="F34" i="13"/>
  <c r="E34" i="13"/>
  <c r="F33" i="13"/>
  <c r="E33" i="13" s="1"/>
  <c r="E32" i="13"/>
  <c r="E31" i="13"/>
  <c r="E30" i="13"/>
  <c r="E29" i="13"/>
  <c r="F28" i="13"/>
  <c r="E28" i="13"/>
  <c r="F27" i="13"/>
  <c r="E27" i="13" s="1"/>
  <c r="E26" i="13"/>
  <c r="E25" i="13"/>
  <c r="E24" i="13"/>
  <c r="E23" i="13"/>
  <c r="E22" i="13"/>
  <c r="E21" i="13"/>
  <c r="E20" i="13"/>
  <c r="E19" i="13"/>
  <c r="E18" i="13"/>
  <c r="F17" i="13"/>
  <c r="E17" i="13"/>
  <c r="E16" i="13"/>
  <c r="E15" i="13"/>
  <c r="E14" i="13"/>
  <c r="E13" i="13"/>
  <c r="E12" i="13"/>
  <c r="E11" i="13"/>
  <c r="E10" i="13"/>
  <c r="E9" i="13"/>
  <c r="G8" i="13"/>
  <c r="E8" i="13"/>
  <c r="F270" i="12"/>
  <c r="F260" i="12"/>
  <c r="F259" i="12"/>
  <c r="F258" i="12"/>
  <c r="F257" i="12"/>
  <c r="F247" i="12"/>
  <c r="F246" i="12"/>
  <c r="F244" i="12"/>
  <c r="F243" i="12"/>
  <c r="F242" i="12"/>
  <c r="F240" i="12"/>
  <c r="F239" i="12"/>
  <c r="F237" i="12"/>
  <c r="F236" i="12"/>
  <c r="F235" i="12"/>
  <c r="F233" i="12"/>
  <c r="F231" i="12"/>
  <c r="F230" i="12"/>
  <c r="F228" i="12"/>
  <c r="F227" i="12"/>
  <c r="F226" i="12"/>
  <c r="F225" i="12"/>
  <c r="F224" i="12"/>
  <c r="F223" i="12"/>
  <c r="F222" i="12"/>
  <c r="F221" i="12"/>
  <c r="F220" i="12"/>
  <c r="F219" i="12"/>
  <c r="F218" i="12"/>
  <c r="F217" i="12"/>
  <c r="F216" i="12"/>
  <c r="F215" i="12"/>
  <c r="F214" i="12"/>
  <c r="F213" i="12"/>
  <c r="F212" i="12"/>
  <c r="F211" i="12"/>
  <c r="F210" i="12"/>
  <c r="F209" i="12"/>
  <c r="F208" i="12"/>
  <c r="F207" i="12"/>
  <c r="F206" i="12"/>
  <c r="F204" i="12"/>
  <c r="F203" i="12"/>
  <c r="F202" i="12"/>
  <c r="F200" i="12"/>
  <c r="F199" i="12"/>
  <c r="F198" i="12"/>
  <c r="F196" i="12"/>
  <c r="F195" i="12"/>
  <c r="F194" i="12"/>
  <c r="F193" i="12"/>
  <c r="F192" i="12"/>
  <c r="F190" i="12"/>
  <c r="F189" i="12"/>
  <c r="F188" i="12"/>
  <c r="F187" i="12"/>
  <c r="F186" i="12"/>
  <c r="F183" i="12"/>
  <c r="F182" i="12"/>
  <c r="F181" i="12"/>
  <c r="F180" i="12"/>
  <c r="F179" i="12"/>
  <c r="F178" i="12"/>
  <c r="F177" i="12"/>
  <c r="F176" i="12"/>
  <c r="F175" i="12"/>
  <c r="F174" i="12"/>
  <c r="F173" i="12"/>
  <c r="F171" i="12"/>
  <c r="F170" i="12"/>
  <c r="F169" i="12"/>
  <c r="F168" i="12"/>
  <c r="F167" i="12"/>
  <c r="F166" i="12"/>
  <c r="F164" i="12"/>
  <c r="F163" i="12"/>
  <c r="F162" i="12"/>
  <c r="F152" i="12"/>
  <c r="F150" i="12"/>
  <c r="F149" i="12"/>
  <c r="F148" i="12"/>
  <c r="F147" i="12"/>
  <c r="F146" i="12"/>
  <c r="F145" i="12"/>
  <c r="F142" i="12"/>
  <c r="F141" i="12"/>
  <c r="F139" i="12"/>
  <c r="F138" i="12"/>
  <c r="F136" i="12"/>
  <c r="F135" i="12"/>
  <c r="F134" i="12"/>
  <c r="F133" i="12"/>
  <c r="F118" i="12"/>
  <c r="F117" i="12"/>
  <c r="F115" i="12"/>
  <c r="F114" i="12"/>
  <c r="F113" i="12"/>
  <c r="F112" i="12"/>
  <c r="F109" i="12"/>
  <c r="F107" i="12"/>
  <c r="F106" i="12"/>
  <c r="F105" i="12"/>
  <c r="F104" i="12"/>
  <c r="F102" i="12"/>
  <c r="F101" i="12"/>
  <c r="F97" i="12"/>
  <c r="F96" i="12"/>
  <c r="F28" i="12"/>
  <c r="F27" i="12"/>
  <c r="F306" i="12" s="1"/>
  <c r="F153" i="11"/>
  <c r="E153" i="11"/>
  <c r="D153" i="11"/>
  <c r="C153" i="11"/>
  <c r="K152" i="11"/>
  <c r="K151" i="11"/>
  <c r="K150" i="11"/>
  <c r="K149" i="11"/>
  <c r="K148" i="11"/>
  <c r="K147" i="11"/>
  <c r="J147" i="11"/>
  <c r="K146" i="11"/>
  <c r="J145" i="11"/>
  <c r="K145" i="11" s="1"/>
  <c r="J144" i="11"/>
  <c r="K144" i="11" s="1"/>
  <c r="J143" i="11"/>
  <c r="K143" i="11" s="1"/>
  <c r="K142" i="11"/>
  <c r="J142" i="11"/>
  <c r="K141" i="11"/>
  <c r="J141" i="11"/>
  <c r="J140" i="11"/>
  <c r="K140" i="11" s="1"/>
  <c r="J139" i="11"/>
  <c r="K139" i="11" s="1"/>
  <c r="K138" i="11"/>
  <c r="J138" i="11"/>
  <c r="K137" i="11"/>
  <c r="J137" i="11"/>
  <c r="J136" i="11"/>
  <c r="K136" i="11" s="1"/>
  <c r="J135" i="11"/>
  <c r="K135" i="11" s="1"/>
  <c r="K134" i="11"/>
  <c r="J134" i="11"/>
  <c r="K133" i="11"/>
  <c r="J133" i="11"/>
  <c r="J132" i="11"/>
  <c r="K132" i="11" s="1"/>
  <c r="J131" i="11"/>
  <c r="K131" i="11" s="1"/>
  <c r="K130" i="11"/>
  <c r="J130" i="11"/>
  <c r="K129" i="11"/>
  <c r="J129" i="11"/>
  <c r="J128" i="11"/>
  <c r="K128" i="11" s="1"/>
  <c r="J127" i="11"/>
  <c r="K127" i="11" s="1"/>
  <c r="K126" i="11"/>
  <c r="J126" i="11"/>
  <c r="K125" i="11"/>
  <c r="J125" i="11"/>
  <c r="J124" i="11"/>
  <c r="K124" i="11" s="1"/>
  <c r="J123" i="11"/>
  <c r="K123" i="11" s="1"/>
  <c r="K122" i="11"/>
  <c r="J122" i="11"/>
  <c r="I122" i="11"/>
  <c r="K121" i="11"/>
  <c r="I121" i="11"/>
  <c r="K120" i="11"/>
  <c r="I120" i="11"/>
  <c r="J119" i="11"/>
  <c r="I119" i="11"/>
  <c r="K119" i="11" s="1"/>
  <c r="J118" i="11"/>
  <c r="I118" i="11"/>
  <c r="K118" i="11" s="1"/>
  <c r="J117" i="11"/>
  <c r="I117" i="11"/>
  <c r="K117" i="11" s="1"/>
  <c r="I116" i="11"/>
  <c r="K116" i="11" s="1"/>
  <c r="J115" i="11"/>
  <c r="I115" i="11"/>
  <c r="K115" i="11" s="1"/>
  <c r="I114" i="11"/>
  <c r="K114" i="11" s="1"/>
  <c r="K113" i="11"/>
  <c r="I113" i="11"/>
  <c r="K112" i="11"/>
  <c r="I112" i="11"/>
  <c r="I111" i="11"/>
  <c r="K111" i="11" s="1"/>
  <c r="J110" i="11"/>
  <c r="I110" i="11"/>
  <c r="K110" i="11" s="1"/>
  <c r="I109" i="11"/>
  <c r="K109" i="11" s="1"/>
  <c r="K108" i="11"/>
  <c r="J108" i="11"/>
  <c r="I108" i="11"/>
  <c r="K107" i="11"/>
  <c r="J107" i="11"/>
  <c r="I107" i="11"/>
  <c r="K106" i="11"/>
  <c r="I106" i="11"/>
  <c r="K105" i="11"/>
  <c r="I105" i="11"/>
  <c r="I104" i="11"/>
  <c r="K104" i="11" s="1"/>
  <c r="J103" i="11"/>
  <c r="I103" i="11"/>
  <c r="K103" i="11" s="1"/>
  <c r="K102" i="11"/>
  <c r="I102" i="11"/>
  <c r="K101" i="11"/>
  <c r="I101" i="11"/>
  <c r="K100" i="11"/>
  <c r="I100" i="11"/>
  <c r="K99" i="11"/>
  <c r="K98" i="11"/>
  <c r="J98" i="11"/>
  <c r="I98" i="11"/>
  <c r="K97" i="11"/>
  <c r="J97" i="11"/>
  <c r="I97" i="11"/>
  <c r="K96" i="11"/>
  <c r="J96" i="11"/>
  <c r="I96" i="11"/>
  <c r="K95" i="11"/>
  <c r="I95" i="11"/>
  <c r="K94" i="11"/>
  <c r="I94" i="11"/>
  <c r="I93" i="11"/>
  <c r="K93" i="11" s="1"/>
  <c r="K92" i="11"/>
  <c r="I92" i="11"/>
  <c r="K91" i="11"/>
  <c r="J91" i="11"/>
  <c r="I91" i="11"/>
  <c r="K90" i="11"/>
  <c r="I90" i="11"/>
  <c r="K89" i="11"/>
  <c r="I89" i="11"/>
  <c r="J88" i="11"/>
  <c r="K88" i="11" s="1"/>
  <c r="K87" i="11"/>
  <c r="I87" i="11"/>
  <c r="K86" i="11"/>
  <c r="I86" i="11"/>
  <c r="K85" i="11"/>
  <c r="J85" i="11"/>
  <c r="I85" i="11"/>
  <c r="K84" i="11"/>
  <c r="J84" i="11"/>
  <c r="I84" i="11"/>
  <c r="K83" i="11"/>
  <c r="I83" i="11"/>
  <c r="J82" i="11"/>
  <c r="I82" i="11"/>
  <c r="K82" i="11" s="1"/>
  <c r="I81" i="11"/>
  <c r="K81" i="11" s="1"/>
  <c r="K80" i="11"/>
  <c r="I80" i="11"/>
  <c r="K79" i="11"/>
  <c r="I79" i="11"/>
  <c r="K78" i="11"/>
  <c r="J78" i="11"/>
  <c r="H78" i="11"/>
  <c r="K77" i="11"/>
  <c r="J77" i="11"/>
  <c r="I77" i="11"/>
  <c r="K76" i="11"/>
  <c r="I76" i="11"/>
  <c r="I75" i="11"/>
  <c r="K75" i="11" s="1"/>
  <c r="J74" i="11"/>
  <c r="I74" i="11"/>
  <c r="K74" i="11" s="1"/>
  <c r="K73" i="11"/>
  <c r="K72" i="11"/>
  <c r="J72" i="11"/>
  <c r="I72" i="11"/>
  <c r="J71" i="11"/>
  <c r="K71" i="11" s="1"/>
  <c r="I71" i="11"/>
  <c r="J70" i="11"/>
  <c r="K70" i="11" s="1"/>
  <c r="I70" i="11"/>
  <c r="H70" i="11"/>
  <c r="K69" i="11"/>
  <c r="J69" i="11"/>
  <c r="I69" i="11"/>
  <c r="K68" i="11"/>
  <c r="J68" i="11"/>
  <c r="I68" i="11"/>
  <c r="K67" i="11"/>
  <c r="J67" i="11"/>
  <c r="I67" i="11"/>
  <c r="H67" i="11"/>
  <c r="J66" i="11"/>
  <c r="I66" i="11"/>
  <c r="K66" i="11" s="1"/>
  <c r="K65" i="11"/>
  <c r="J64" i="11"/>
  <c r="K64" i="11" s="1"/>
  <c r="J63" i="11"/>
  <c r="I63" i="11"/>
  <c r="K63" i="11" s="1"/>
  <c r="I62" i="11"/>
  <c r="K62" i="11" s="1"/>
  <c r="J61" i="11"/>
  <c r="I61" i="11"/>
  <c r="K61" i="11" s="1"/>
  <c r="K60" i="11"/>
  <c r="I60" i="11"/>
  <c r="K59" i="11"/>
  <c r="J59" i="11"/>
  <c r="I59" i="11"/>
  <c r="K58" i="11"/>
  <c r="I58" i="11"/>
  <c r="I57" i="11"/>
  <c r="K57" i="11" s="1"/>
  <c r="J56" i="11"/>
  <c r="I56" i="11"/>
  <c r="K56" i="11" s="1"/>
  <c r="J55" i="11"/>
  <c r="I55" i="11"/>
  <c r="K55" i="11" s="1"/>
  <c r="J54" i="11"/>
  <c r="I54" i="11"/>
  <c r="H54" i="11"/>
  <c r="K54" i="11" s="1"/>
  <c r="J53" i="11"/>
  <c r="K53" i="11" s="1"/>
  <c r="I53" i="11"/>
  <c r="J52" i="11"/>
  <c r="K52" i="11" s="1"/>
  <c r="I52" i="11"/>
  <c r="J51" i="11"/>
  <c r="K51" i="11" s="1"/>
  <c r="I51" i="11"/>
  <c r="J50" i="11"/>
  <c r="K50" i="11" s="1"/>
  <c r="I50" i="11"/>
  <c r="H50" i="11"/>
  <c r="K49" i="11"/>
  <c r="J49" i="11"/>
  <c r="I49" i="11"/>
  <c r="K48" i="11"/>
  <c r="J48" i="11"/>
  <c r="I48" i="11"/>
  <c r="H48" i="11"/>
  <c r="I47" i="11"/>
  <c r="H47" i="11"/>
  <c r="K47" i="11" s="1"/>
  <c r="K46" i="11"/>
  <c r="J46" i="11"/>
  <c r="K45" i="11"/>
  <c r="J44" i="11"/>
  <c r="I44" i="11"/>
  <c r="H44" i="11"/>
  <c r="K44" i="11" s="1"/>
  <c r="I43" i="11"/>
  <c r="K43" i="11" s="1"/>
  <c r="H43" i="11"/>
  <c r="I42" i="11"/>
  <c r="K42" i="11" s="1"/>
  <c r="I41" i="11"/>
  <c r="H41" i="11"/>
  <c r="K41" i="11" s="1"/>
  <c r="I40" i="11"/>
  <c r="K40" i="11" s="1"/>
  <c r="J39" i="11"/>
  <c r="I39" i="11"/>
  <c r="H39" i="11"/>
  <c r="K39" i="11" s="1"/>
  <c r="J38" i="11"/>
  <c r="I38" i="11"/>
  <c r="K38" i="11" s="1"/>
  <c r="J37" i="11"/>
  <c r="I37" i="11"/>
  <c r="H37" i="11"/>
  <c r="K37" i="11" s="1"/>
  <c r="K36" i="11"/>
  <c r="I35" i="11"/>
  <c r="H35" i="11"/>
  <c r="K35" i="11" s="1"/>
  <c r="K34" i="11"/>
  <c r="I34" i="11"/>
  <c r="K33" i="11"/>
  <c r="J33" i="11"/>
  <c r="I33" i="11"/>
  <c r="H33" i="11"/>
  <c r="I32" i="11"/>
  <c r="H32" i="11"/>
  <c r="K32" i="11" s="1"/>
  <c r="J31" i="11"/>
  <c r="I31" i="11"/>
  <c r="K31" i="11" s="1"/>
  <c r="J30" i="11"/>
  <c r="I30" i="11"/>
  <c r="K30" i="11" s="1"/>
  <c r="J29" i="11"/>
  <c r="I29" i="11"/>
  <c r="H29" i="11"/>
  <c r="K29" i="11" s="1"/>
  <c r="J28" i="11"/>
  <c r="I28" i="11"/>
  <c r="K28" i="11" s="1"/>
  <c r="I27" i="11"/>
  <c r="K27" i="11" s="1"/>
  <c r="J26" i="11"/>
  <c r="I26" i="11"/>
  <c r="K26" i="11" s="1"/>
  <c r="J25" i="11"/>
  <c r="J153" i="11" s="1"/>
  <c r="I25" i="11"/>
  <c r="H25" i="11"/>
  <c r="G25" i="11"/>
  <c r="K25" i="11" s="1"/>
  <c r="K24" i="11"/>
  <c r="K23" i="11"/>
  <c r="K22" i="11"/>
  <c r="K21" i="11"/>
  <c r="K20" i="11"/>
  <c r="K19" i="11"/>
  <c r="K18" i="11"/>
  <c r="K17" i="11"/>
  <c r="K16" i="11"/>
  <c r="K15" i="11"/>
  <c r="K14" i="11"/>
  <c r="K13" i="11"/>
  <c r="K12" i="11"/>
  <c r="K11" i="11"/>
  <c r="K10" i="11"/>
  <c r="K9" i="11"/>
  <c r="K8" i="11"/>
  <c r="K7" i="11"/>
  <c r="I6" i="11"/>
  <c r="I153" i="11" s="1"/>
  <c r="H6" i="11"/>
  <c r="H153" i="11" s="1"/>
  <c r="G6" i="11"/>
  <c r="G153" i="11" s="1"/>
  <c r="A6" i="1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A133" i="11" s="1"/>
  <c r="A134" i="11" s="1"/>
  <c r="A135" i="11" s="1"/>
  <c r="A136" i="11" s="1"/>
  <c r="A137" i="11" s="1"/>
  <c r="A138" i="11" s="1"/>
  <c r="A139" i="11" s="1"/>
  <c r="A140" i="11" s="1"/>
  <c r="A141" i="11" s="1"/>
  <c r="A142" i="11" s="1"/>
  <c r="A143" i="11" s="1"/>
  <c r="A144" i="11" s="1"/>
  <c r="A145" i="11" s="1"/>
  <c r="K5" i="11"/>
  <c r="I156" i="10"/>
  <c r="I155" i="10"/>
  <c r="I154" i="10"/>
  <c r="I153" i="10"/>
  <c r="I152" i="10"/>
  <c r="G151" i="10"/>
  <c r="I151" i="10" s="1"/>
  <c r="I150" i="10"/>
  <c r="H149" i="10"/>
  <c r="G149" i="10"/>
  <c r="I149" i="10" s="1"/>
  <c r="F149" i="10"/>
  <c r="I148" i="10"/>
  <c r="H147" i="10"/>
  <c r="G147" i="10"/>
  <c r="F147" i="10"/>
  <c r="I147" i="10" s="1"/>
  <c r="I146" i="10"/>
  <c r="I145" i="10"/>
  <c r="F145" i="10"/>
  <c r="I144" i="10"/>
  <c r="I143" i="10"/>
  <c r="I142" i="10"/>
  <c r="I141" i="10"/>
  <c r="F140" i="10"/>
  <c r="I140" i="10" s="1"/>
  <c r="I139" i="10"/>
  <c r="I138" i="10"/>
  <c r="G138" i="10"/>
  <c r="F138" i="10"/>
  <c r="I137" i="10"/>
  <c r="I136" i="10"/>
  <c r="I135" i="10"/>
  <c r="I134" i="10"/>
  <c r="I133" i="10"/>
  <c r="I132" i="10"/>
  <c r="I131" i="10"/>
  <c r="I130" i="10"/>
  <c r="I129" i="10"/>
  <c r="H128" i="10"/>
  <c r="F128" i="10"/>
  <c r="I128" i="10" s="1"/>
  <c r="I127" i="10"/>
  <c r="I126" i="10"/>
  <c r="F126" i="10"/>
  <c r="I125" i="10"/>
  <c r="I124" i="10"/>
  <c r="I123" i="10"/>
  <c r="I122" i="10"/>
  <c r="I121" i="10"/>
  <c r="I120" i="10"/>
  <c r="H119" i="10"/>
  <c r="I119" i="10" s="1"/>
  <c r="I118" i="10"/>
  <c r="I117" i="10"/>
  <c r="I116" i="10"/>
  <c r="I115" i="10"/>
  <c r="I114" i="10"/>
  <c r="I113" i="10"/>
  <c r="H112" i="10"/>
  <c r="G112" i="10"/>
  <c r="I112" i="10" s="1"/>
  <c r="F112" i="10"/>
  <c r="I111" i="10"/>
  <c r="I110" i="10"/>
  <c r="I109" i="10"/>
  <c r="I108" i="10"/>
  <c r="F107" i="10"/>
  <c r="I107" i="10" s="1"/>
  <c r="I106" i="10"/>
  <c r="I105" i="10"/>
  <c r="I104" i="10"/>
  <c r="I103" i="10"/>
  <c r="I102" i="10"/>
  <c r="I101" i="10"/>
  <c r="I100" i="10"/>
  <c r="I99" i="10"/>
  <c r="I98" i="10"/>
  <c r="I97" i="10"/>
  <c r="I96" i="10"/>
  <c r="I95" i="10"/>
  <c r="F95" i="10"/>
  <c r="I94" i="10"/>
  <c r="I93" i="10"/>
  <c r="I92" i="10"/>
  <c r="I91" i="10"/>
  <c r="I90" i="10"/>
  <c r="I89" i="10"/>
  <c r="F88" i="10"/>
  <c r="I88" i="10" s="1"/>
  <c r="I87" i="10"/>
  <c r="I86" i="10"/>
  <c r="F86" i="10"/>
  <c r="I85" i="10"/>
  <c r="I84" i="10"/>
  <c r="I83" i="10"/>
  <c r="H82" i="10"/>
  <c r="G82" i="10"/>
  <c r="F82" i="10"/>
  <c r="I82" i="10" s="1"/>
  <c r="I81" i="10"/>
  <c r="I80" i="10"/>
  <c r="I79" i="10"/>
  <c r="I78" i="10"/>
  <c r="I77" i="10"/>
  <c r="I76" i="10"/>
  <c r="H76" i="10"/>
  <c r="F76" i="10"/>
  <c r="I75" i="10"/>
  <c r="G75" i="10"/>
  <c r="F74" i="10"/>
  <c r="I74" i="10" s="1"/>
  <c r="I73" i="10"/>
  <c r="I72" i="10"/>
  <c r="G72" i="10"/>
  <c r="G71" i="10"/>
  <c r="I71" i="10" s="1"/>
  <c r="H70" i="10"/>
  <c r="G70" i="10"/>
  <c r="I70" i="10" s="1"/>
  <c r="F70" i="10"/>
  <c r="I69" i="10"/>
  <c r="I68" i="10"/>
  <c r="I67" i="10"/>
  <c r="I66" i="10"/>
  <c r="H65" i="10"/>
  <c r="I65" i="10" s="1"/>
  <c r="G65" i="10"/>
  <c r="F65" i="10"/>
  <c r="I64" i="10"/>
  <c r="I63" i="10"/>
  <c r="I62" i="10"/>
  <c r="I61" i="10"/>
  <c r="I60" i="10"/>
  <c r="F59" i="10"/>
  <c r="I59" i="10" s="1"/>
  <c r="I58" i="10"/>
  <c r="F57" i="10"/>
  <c r="I57" i="10" s="1"/>
  <c r="I56" i="10"/>
  <c r="I55" i="10"/>
  <c r="F55" i="10"/>
  <c r="I54" i="10"/>
  <c r="E53" i="10"/>
  <c r="I53" i="10" s="1"/>
  <c r="I52" i="10"/>
  <c r="I51" i="10"/>
  <c r="I50" i="10"/>
  <c r="F50" i="10"/>
  <c r="I49" i="10"/>
  <c r="H48" i="10"/>
  <c r="G48" i="10"/>
  <c r="F48" i="10"/>
  <c r="I48" i="10" s="1"/>
  <c r="I47" i="10"/>
  <c r="I46" i="10"/>
  <c r="I45" i="10"/>
  <c r="I44" i="10"/>
  <c r="F43" i="10"/>
  <c r="I43" i="10" s="1"/>
  <c r="H42" i="10"/>
  <c r="F42" i="10"/>
  <c r="I42" i="10" s="1"/>
  <c r="I41" i="10"/>
  <c r="I40" i="10"/>
  <c r="I39" i="10"/>
  <c r="I38" i="10"/>
  <c r="I37" i="10"/>
  <c r="I36" i="10"/>
  <c r="F35" i="10"/>
  <c r="I35" i="10" s="1"/>
  <c r="I34" i="10"/>
  <c r="G34" i="10"/>
  <c r="I33" i="10"/>
  <c r="H32" i="10"/>
  <c r="H157" i="10" s="1"/>
  <c r="G32" i="10"/>
  <c r="G157" i="10" s="1"/>
  <c r="F32" i="10"/>
  <c r="E32" i="10"/>
  <c r="I32" i="10" s="1"/>
  <c r="I31" i="10"/>
  <c r="F30" i="10"/>
  <c r="I30" i="10" s="1"/>
  <c r="I29" i="10"/>
  <c r="H29" i="10"/>
  <c r="F29" i="10"/>
  <c r="F157" i="10" s="1"/>
  <c r="E29" i="10"/>
  <c r="I28" i="10"/>
  <c r="I27" i="10"/>
  <c r="I26" i="10"/>
  <c r="I25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I11" i="10"/>
  <c r="A11" i="10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A89" i="10" s="1"/>
  <c r="A90" i="10" s="1"/>
  <c r="A91" i="10" s="1"/>
  <c r="A92" i="10" s="1"/>
  <c r="A93" i="10" s="1"/>
  <c r="A94" i="10" s="1"/>
  <c r="A95" i="10" s="1"/>
  <c r="A96" i="10" s="1"/>
  <c r="A97" i="10" s="1"/>
  <c r="A98" i="10" s="1"/>
  <c r="A99" i="10" s="1"/>
  <c r="A100" i="10" s="1"/>
  <c r="A101" i="10" s="1"/>
  <c r="A102" i="10" s="1"/>
  <c r="A103" i="10" s="1"/>
  <c r="A104" i="10" s="1"/>
  <c r="A105" i="10" s="1"/>
  <c r="A106" i="10" s="1"/>
  <c r="A107" i="10" s="1"/>
  <c r="A108" i="10" s="1"/>
  <c r="A109" i="10" s="1"/>
  <c r="A110" i="10" s="1"/>
  <c r="A111" i="10" s="1"/>
  <c r="A112" i="10" s="1"/>
  <c r="A113" i="10" s="1"/>
  <c r="A114" i="10" s="1"/>
  <c r="A115" i="10" s="1"/>
  <c r="A116" i="10" s="1"/>
  <c r="A117" i="10" s="1"/>
  <c r="A118" i="10" s="1"/>
  <c r="A119" i="10" s="1"/>
  <c r="A120" i="10" s="1"/>
  <c r="A121" i="10" s="1"/>
  <c r="A122" i="10" s="1"/>
  <c r="A123" i="10" s="1"/>
  <c r="A124" i="10" s="1"/>
  <c r="A125" i="10" s="1"/>
  <c r="A126" i="10" s="1"/>
  <c r="A127" i="10" s="1"/>
  <c r="A128" i="10" s="1"/>
  <c r="A129" i="10" s="1"/>
  <c r="A130" i="10" s="1"/>
  <c r="A131" i="10" s="1"/>
  <c r="A132" i="10" s="1"/>
  <c r="A133" i="10" s="1"/>
  <c r="A134" i="10" s="1"/>
  <c r="A135" i="10" s="1"/>
  <c r="A136" i="10" s="1"/>
  <c r="A137" i="10" s="1"/>
  <c r="A138" i="10" s="1"/>
  <c r="A139" i="10" s="1"/>
  <c r="A140" i="10" s="1"/>
  <c r="A141" i="10" s="1"/>
  <c r="A142" i="10" s="1"/>
  <c r="A143" i="10" s="1"/>
  <c r="A144" i="10" s="1"/>
  <c r="A145" i="10" s="1"/>
  <c r="A146" i="10" s="1"/>
  <c r="A147" i="10" s="1"/>
  <c r="A148" i="10" s="1"/>
  <c r="A149" i="10" s="1"/>
  <c r="E10" i="10"/>
  <c r="E157" i="10" s="1"/>
  <c r="A10" i="10"/>
  <c r="I9" i="10"/>
  <c r="E309" i="13" l="1"/>
  <c r="K6" i="11"/>
  <c r="K153" i="11" s="1"/>
  <c r="I10" i="10"/>
  <c r="I157" i="10" s="1"/>
  <c r="T19" i="8" l="1"/>
  <c r="S19" i="8"/>
  <c r="R19" i="8"/>
  <c r="Q19" i="8"/>
  <c r="P19" i="8"/>
  <c r="O19" i="8"/>
  <c r="N19" i="8"/>
  <c r="M19" i="8"/>
  <c r="L19" i="8"/>
  <c r="K19" i="8"/>
  <c r="J19" i="8"/>
  <c r="E21" i="2" l="1"/>
  <c r="E13" i="1"/>
  <c r="E12" i="1"/>
  <c r="E9" i="2" l="1"/>
  <c r="E28" i="2"/>
  <c r="E29" i="2" l="1"/>
  <c r="E19" i="1" l="1"/>
</calcChain>
</file>

<file path=xl/comments1.xml><?xml version="1.0" encoding="utf-8"?>
<comments xmlns="http://schemas.openxmlformats.org/spreadsheetml/2006/main">
  <authors>
    <author>Libanesa Feliz</author>
    <author>Mayelin Mendez</author>
  </authors>
  <commentList>
    <comment ref="G11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H11" authorId="1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Identificar grupo ocupacional:
I- Servicios Generales
II- Supervision y Apoyo
III- Tecnicos
IV- Profesionales
 </t>
        </r>
      </text>
    </comment>
    <comment ref="I11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</commentList>
</comments>
</file>

<file path=xl/sharedStrings.xml><?xml version="1.0" encoding="utf-8"?>
<sst xmlns="http://schemas.openxmlformats.org/spreadsheetml/2006/main" count="1947" uniqueCount="766">
  <si>
    <t>SERVICIO REGIONAL DE SALUD</t>
  </si>
  <si>
    <t>DIRECCIÓN DE FISCALIZACIÓN Y CONTROL</t>
  </si>
  <si>
    <t>A</t>
  </si>
  <si>
    <t>B</t>
  </si>
  <si>
    <t>C</t>
  </si>
  <si>
    <t>D</t>
  </si>
  <si>
    <t>E</t>
  </si>
  <si>
    <t>F</t>
  </si>
  <si>
    <t>PERÍODO</t>
  </si>
  <si>
    <t>MONTO</t>
  </si>
  <si>
    <t>PROMESE CAL</t>
  </si>
  <si>
    <t>PRÉSTAMOS Y/O ANTICIPOS FINANCIEROS OTORGADOS POR SENASA</t>
  </si>
  <si>
    <t>TOTAL</t>
  </si>
  <si>
    <r>
      <rPr>
        <b/>
        <sz val="12"/>
        <color theme="1"/>
        <rFont val="Calibri"/>
        <family val="2"/>
        <scheme val="minor"/>
      </rPr>
      <t>Nota</t>
    </r>
    <r>
      <rPr>
        <sz val="12"/>
        <color theme="1"/>
        <rFont val="Calibri"/>
        <family val="2"/>
        <scheme val="minor"/>
      </rPr>
      <t>. En el caso de las columnas D, E y F, solo aplican para llenado de los préstamos otogados por SENASA.</t>
    </r>
  </si>
  <si>
    <t xml:space="preserve">                                                                                        ___________________________________________</t>
  </si>
  <si>
    <t xml:space="preserve">SEGURIDAD SOCIAL </t>
  </si>
  <si>
    <t>PRESTACIONES LABORALES</t>
  </si>
  <si>
    <t>VIATICOS</t>
  </si>
  <si>
    <t>TIPO</t>
  </si>
  <si>
    <t>STATUS PRESTAMO</t>
  </si>
  <si>
    <t>MONTO ORIGEN</t>
  </si>
  <si>
    <t>MONTO AMORTIZADO</t>
  </si>
  <si>
    <t>BALANCE PENDIENTE</t>
  </si>
  <si>
    <t>DESDE</t>
  </si>
  <si>
    <t>HASTA</t>
  </si>
  <si>
    <t xml:space="preserve">Servicio Nacional de Salud </t>
  </si>
  <si>
    <t xml:space="preserve">Dirección de Fiscalización y Control </t>
  </si>
  <si>
    <t>ARS</t>
  </si>
  <si>
    <t>SALUD SEGURA</t>
  </si>
  <si>
    <t>UNIVERSAL</t>
  </si>
  <si>
    <t>MONUMENTAL</t>
  </si>
  <si>
    <t>FUTURO</t>
  </si>
  <si>
    <t>HUMANO</t>
  </si>
  <si>
    <t xml:space="preserve">Sub-Total </t>
  </si>
  <si>
    <t xml:space="preserve">Cafetería </t>
  </si>
  <si>
    <t xml:space="preserve">Total General </t>
  </si>
  <si>
    <t>Anticipo Financiero</t>
  </si>
  <si>
    <t>PALIC</t>
  </si>
  <si>
    <t>FONDO REPONIBLE</t>
  </si>
  <si>
    <t>Odontologia (facturacion servicios no contemplado en Plan Basico)</t>
  </si>
  <si>
    <t>Odontología (subsidio SeNaSa)</t>
  </si>
  <si>
    <t>Alquiler de espacios internos a terceros</t>
  </si>
  <si>
    <t>Aportes provenientes de convenios Institucionales</t>
  </si>
  <si>
    <t xml:space="preserve">Preparado por: </t>
  </si>
  <si>
    <t xml:space="preserve">Revisado por: </t>
  </si>
  <si>
    <t xml:space="preserve">Aprobado por:  </t>
  </si>
  <si>
    <t>SENASA SUBSIDIADO</t>
  </si>
  <si>
    <t>SENASA CONTRIBUTIVO</t>
  </si>
  <si>
    <t>Otros ingresos no identificados precedentemente</t>
  </si>
  <si>
    <t>Otros Aportes</t>
  </si>
  <si>
    <t>RETENCIONES DE IMPUESTOS (DGII)</t>
  </si>
  <si>
    <t>APROVISIONAMIENTOS DE INCENTIVOS</t>
  </si>
  <si>
    <t>APROVISIONAMIENTO DE REGALIA PASCUAL</t>
  </si>
  <si>
    <t>HOSPITAL INMACULADA CONCEPCION</t>
  </si>
  <si>
    <t>059-0021025-2</t>
  </si>
  <si>
    <t>ALMACEN DE INSUMO</t>
  </si>
  <si>
    <t>SUPERVISOR DE ALMACEN DE INSUMO</t>
  </si>
  <si>
    <t xml:space="preserve"> </t>
  </si>
  <si>
    <t>402-1534291-2</t>
  </si>
  <si>
    <t>AUXILIAR DE RR.HH</t>
  </si>
  <si>
    <t>RECURSOS HUMANOS</t>
  </si>
  <si>
    <t>SECRETARIA</t>
  </si>
  <si>
    <t>ODONTOLOGIA</t>
  </si>
  <si>
    <t>AUX. FACTURACION</t>
  </si>
  <si>
    <t>FACTURACION Y SEGURO</t>
  </si>
  <si>
    <t>402-2266683-2</t>
  </si>
  <si>
    <t>AUX. DE CONTABILIDAD</t>
  </si>
  <si>
    <t>CONTABILIDAD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</si>
  <si>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</si>
  <si>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</si>
  <si>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</si>
  <si>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</si>
  <si>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</si>
  <si>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</si>
  <si>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</si>
  <si>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Grupo Ocupacional</t>
  </si>
  <si>
    <t>Fecha de inicio del contrato</t>
  </si>
  <si>
    <t>Sueldo Bruto (RD$)</t>
  </si>
  <si>
    <t>Seguridad Social (LEY 87-01)</t>
  </si>
  <si>
    <t>Total Retenciones y Aportes</t>
  </si>
  <si>
    <t>Sueldo Neto (RD$)</t>
  </si>
  <si>
    <t>Cuenta Banco</t>
  </si>
  <si>
    <t>Seguro de Pensión (9.97%)</t>
  </si>
  <si>
    <t>Riesgos Laborales (1.3%) (2*)</t>
  </si>
  <si>
    <t>Seguro de Salud (10.53%)    (3*)</t>
  </si>
  <si>
    <t>Registro Dependientes Adicionales (4*)</t>
  </si>
  <si>
    <t>Subtotal TSS</t>
  </si>
  <si>
    <t>Deducción Empleado</t>
  </si>
  <si>
    <t>Aportes Patronal</t>
  </si>
  <si>
    <t>Desde</t>
  </si>
  <si>
    <t>Empleado (2.87%)</t>
  </si>
  <si>
    <t>Patronal (7.10%)</t>
  </si>
  <si>
    <t>Empleado (3.04%)</t>
  </si>
  <si>
    <t>Patronal (7.09%)</t>
  </si>
  <si>
    <t xml:space="preserve">JOSE JOEL  </t>
  </si>
  <si>
    <t>TAVERAS MARTE</t>
  </si>
  <si>
    <t>CONTRATADO</t>
  </si>
  <si>
    <t>I</t>
  </si>
  <si>
    <t>II</t>
  </si>
  <si>
    <t xml:space="preserve">NELFI MARIELI </t>
  </si>
  <si>
    <t>LOPEZ CRUCETA</t>
  </si>
  <si>
    <t xml:space="preserve">NICAURIS </t>
  </si>
  <si>
    <t>AGRAMONTE  BRITO</t>
  </si>
  <si>
    <t>IV</t>
  </si>
  <si>
    <t>DR. OSCAR  MENA DÍAZ</t>
  </si>
  <si>
    <t xml:space="preserve">           LICDA GLENNY MERCEDES CRUZ</t>
  </si>
  <si>
    <t xml:space="preserve">           DIRECTOR:</t>
  </si>
  <si>
    <t xml:space="preserve">                </t>
  </si>
  <si>
    <t xml:space="preserve">               ENC. RECURSOS HUMANOS</t>
  </si>
  <si>
    <t xml:space="preserve">Comportamiento de Ingresos Percibidos Segregados según Origen </t>
  </si>
  <si>
    <t>Origen</t>
  </si>
  <si>
    <t xml:space="preserve">Fecha depópsito </t>
  </si>
  <si>
    <t xml:space="preserve">Núm. de Documento de referencia </t>
  </si>
  <si>
    <t xml:space="preserve">Valor de Transferencia o Cheque </t>
  </si>
  <si>
    <t>Atenciones a pacientes extranjeros</t>
  </si>
  <si>
    <t>Cuenta Núm.</t>
  </si>
  <si>
    <t>Balance en libro</t>
  </si>
  <si>
    <t>Balance en Banco</t>
  </si>
  <si>
    <t>Balance Conciliado</t>
  </si>
  <si>
    <t>0920018912</t>
  </si>
  <si>
    <t>0920027660</t>
  </si>
  <si>
    <t>PAGO POR SERVICIOS PRESTADO</t>
  </si>
  <si>
    <t>049-0089037-9</t>
  </si>
  <si>
    <t xml:space="preserve">KARINA </t>
  </si>
  <si>
    <t>ROSARIO VASQUEZ</t>
  </si>
  <si>
    <t xml:space="preserve">                       LICDA:ANEUDY ODALISA PIMENTEL</t>
  </si>
  <si>
    <t xml:space="preserve">                                ADMINITRADORA                                                    </t>
  </si>
  <si>
    <t>Correspondiente al mes de NOVIEMBRE del año 2025</t>
  </si>
  <si>
    <t xml:space="preserve">SERVICIO NACIONAL DE SALUD </t>
  </si>
  <si>
    <t xml:space="preserve">DIRECCION DE FISCALIZACION Y CONTROL </t>
  </si>
  <si>
    <t>COMPROMISO DE DEUDAS 2025</t>
  </si>
  <si>
    <t>NO</t>
  </si>
  <si>
    <t xml:space="preserve">NOMBRES PROVEEDOR  </t>
  </si>
  <si>
    <t xml:space="preserve">CONCEPTO DE COMPRA ( BREVE DESCRIPCION ) </t>
  </si>
  <si>
    <t>FUENTE DE FINANCIAMIENTO</t>
  </si>
  <si>
    <t>MONTO AÑOS ANTERIORES</t>
  </si>
  <si>
    <t xml:space="preserve">TOTAL ADEUDADO </t>
  </si>
  <si>
    <t>MINIMARKET CHIQUI</t>
  </si>
  <si>
    <t>COMPRA DE PROVISIONES</t>
  </si>
  <si>
    <t>VS</t>
  </si>
  <si>
    <t>OGYM</t>
  </si>
  <si>
    <t>COMPRA DE OXIGENO</t>
  </si>
  <si>
    <t xml:space="preserve">ORTRO CHEMICAL </t>
  </si>
  <si>
    <t>COMP. MATERIALES DE LIMPIEZA</t>
  </si>
  <si>
    <t>ALEJANDRA FARMACEUTICA, SRL</t>
  </si>
  <si>
    <t>COMP. MATERIAL GAST. QUIR.</t>
  </si>
  <si>
    <t>ROSARIO SANCHEZ FARMACEUTICA, SRL</t>
  </si>
  <si>
    <t>LAMBDA DIAGNOSTICOS</t>
  </si>
  <si>
    <t xml:space="preserve">COMP. MEICAMENTOS </t>
  </si>
  <si>
    <t>UNIQUE REPRESENTACIONES. SRL</t>
  </si>
  <si>
    <t>LECTURA DE DOCIMETRO DE PROT.</t>
  </si>
  <si>
    <t>MEDISOL</t>
  </si>
  <si>
    <t>COMP. DE MATERIAL GASTABLE</t>
  </si>
  <si>
    <t>AGUA FRISA</t>
  </si>
  <si>
    <t>COMP. DE AGUA</t>
  </si>
  <si>
    <t>CASA ELBA</t>
  </si>
  <si>
    <t>COMP. DE PROVICIONES</t>
  </si>
  <si>
    <t>GUIVAL MEDICINAL SRL</t>
  </si>
  <si>
    <t>COMP. DE REACTIVO DE LAB.</t>
  </si>
  <si>
    <t>COMLESA GLP</t>
  </si>
  <si>
    <t>COMP. DE GLP</t>
  </si>
  <si>
    <t>KYANRED SUPPLY</t>
  </si>
  <si>
    <t>COMP. MATERIAL GASTABLE</t>
  </si>
  <si>
    <t>PANADERIA SOLO CHEPE</t>
  </si>
  <si>
    <t>COMP. DE PROVICIONRES</t>
  </si>
  <si>
    <t>MGCH SRL</t>
  </si>
  <si>
    <t>COMP. DE MEDICAMENTOS</t>
  </si>
  <si>
    <t>PURIFICACION BOYA</t>
  </si>
  <si>
    <t xml:space="preserve">COMPRA DE PROVICIONES </t>
  </si>
  <si>
    <t xml:space="preserve">LABORATORIO DENTAL POLONIA </t>
  </si>
  <si>
    <t>COMP. MAT. DE ODONTOLOGIA</t>
  </si>
  <si>
    <t>SURTIDORA DAURYN</t>
  </si>
  <si>
    <t>PANIFICADORA NORDESTE</t>
  </si>
  <si>
    <t>PUERTAS Y VENTANAS REINOSO</t>
  </si>
  <si>
    <t>COMP. DE MATERIAL DE MANTENIMIENTO</t>
  </si>
  <si>
    <t>AIR LIQUIDE</t>
  </si>
  <si>
    <t>BIONUCLEAR</t>
  </si>
  <si>
    <t>COMP. DE REACTIVOS</t>
  </si>
  <si>
    <t>MEDWHITE, SRL</t>
  </si>
  <si>
    <t>COMPRA DE MEDICAMENTOS</t>
  </si>
  <si>
    <t>SUPERMERCADO MAMA LOLA, SRL</t>
  </si>
  <si>
    <t>COPEM HOSPICLINIC, SRL</t>
  </si>
  <si>
    <t>PEDRO ERIBERTO MARTES DÍAZ</t>
  </si>
  <si>
    <t>EPX DOMINICANA, SRL</t>
  </si>
  <si>
    <t>COMPRA DE MATERIAL GAST MEDICO</t>
  </si>
  <si>
    <t>MEDIVAR, SRL</t>
  </si>
  <si>
    <t>COMPRA DE MATERIAL GSTABLE MED</t>
  </si>
  <si>
    <t>LEROMED PHARMA, SRL</t>
  </si>
  <si>
    <t>FERRETERIA CAROLINA, SRL.</t>
  </si>
  <si>
    <t>COMPRA DE MATERIALES MANTENIMIENTO</t>
  </si>
  <si>
    <t>PAT Y MELL, SRL</t>
  </si>
  <si>
    <t>COMPRA DE MATERIAL GASTABLE MDICO</t>
  </si>
  <si>
    <t>SUPLIDORA ODONTOMEDICA, SRL</t>
  </si>
  <si>
    <t>COMPRA DE MATERIAL GAST. ODONTOLOGICO</t>
  </si>
  <si>
    <t>SAMUEL PIMENTEL FRIAS</t>
  </si>
  <si>
    <t>COMPRA MATERIAL GAST. IMPRESO</t>
  </si>
  <si>
    <t>ESTACION HERMANOS CONTRERAS</t>
  </si>
  <si>
    <t>COMPRA DE COMBUSTIBLE</t>
  </si>
  <si>
    <t>HEXAPOWER PHARMA SRL</t>
  </si>
  <si>
    <t>HOSPICALFA MEDICAL</t>
  </si>
  <si>
    <t>FERMEDCA COMERCIAL SRL</t>
  </si>
  <si>
    <t>H Y M SUPLAY, SRL</t>
  </si>
  <si>
    <t>MATERIALES DE OFICINA</t>
  </si>
  <si>
    <t>RAMISOL, SRL</t>
  </si>
  <si>
    <t>REFRIGERACION JOSE REYES, SRL</t>
  </si>
  <si>
    <t>COMPRA DE SERVICIOS DE REFRIGERACION</t>
  </si>
  <si>
    <t>ADAVAS DEL NORTE, SRL</t>
  </si>
  <si>
    <t>COMPRA DE MAT. DE LIMPEIZA</t>
  </si>
  <si>
    <t>GRUPO FARMACEUTICO CAR-M, SRL.</t>
  </si>
  <si>
    <t>MAX SER COMP</t>
  </si>
  <si>
    <t>COMPRA DE SERVICIOS DE ALQUILER</t>
  </si>
  <si>
    <t>ALMANZAR Y ESTVEZ</t>
  </si>
  <si>
    <t>COMPRA DE REACTIVOS</t>
  </si>
  <si>
    <t>SUPLIMED</t>
  </si>
  <si>
    <t>COMPRA DE MAT. GASTABLE MEDICO</t>
  </si>
  <si>
    <t>FEC BIOMEDICAL, SRL</t>
  </si>
  <si>
    <t>COMPRA DE MEDICAMENTOS Y MATERIAL GASTABLE MEDICO</t>
  </si>
  <si>
    <t>PRODUCTO MEDICINALES, SRL. (PROMEDCA)</t>
  </si>
  <si>
    <t>ZEN PHARMACEUTICA, SRL</t>
  </si>
  <si>
    <t>COMPRA DE MAT GASTABLE MEDICO</t>
  </si>
  <si>
    <t>PAPELERIA CISIN</t>
  </si>
  <si>
    <t>COMPRA DE MAT, DE OFICINA</t>
  </si>
  <si>
    <t>FARACH, S.A.</t>
  </si>
  <si>
    <t>SEAN DOMINICAN, SRL</t>
  </si>
  <si>
    <t>DOMINICANA PHONE PEROBA</t>
  </si>
  <si>
    <t>COMPRA DE MATERIALES DE OFICINA</t>
  </si>
  <si>
    <t>FARMACIA MIRIAN INMACULADA</t>
  </si>
  <si>
    <t>TEOFILO SANCHEZ, SRL</t>
  </si>
  <si>
    <t>OXIGENO</t>
  </si>
  <si>
    <t>DELMEDICAL, SRL</t>
  </si>
  <si>
    <t>FERRETERIA LA GRANDE</t>
  </si>
  <si>
    <t>MATERIALES DE MANTENIMIENTO</t>
  </si>
  <si>
    <t>AGUA DENNI, SRL</t>
  </si>
  <si>
    <t>AGUA</t>
  </si>
  <si>
    <t>FARMACIA DRA. CLETO</t>
  </si>
  <si>
    <t>FRADENT, SRL</t>
  </si>
  <si>
    <t>MATERIALES DE ODONTOLOGIA</t>
  </si>
  <si>
    <t>ALMACENES ORIENTALES</t>
  </si>
  <si>
    <t>TELA PARA ROPA DE CIRUGIA</t>
  </si>
  <si>
    <t>YOJANCER PRINT COLOR SRL.</t>
  </si>
  <si>
    <t>SUETER PARA PERSONAL</t>
  </si>
  <si>
    <t>FIGUEROA CABRERA TORUS, SRL.</t>
  </si>
  <si>
    <t>TRANSPORTE</t>
  </si>
  <si>
    <t>JHONNY VASQUEZ VASQUEZ</t>
  </si>
  <si>
    <t>MANTENIMIENTO Y REPARACION EN AREA DE ODONTOLOGIA</t>
  </si>
  <si>
    <t>LEONIDES ADAMES</t>
  </si>
  <si>
    <t>ROPA DE CIRUGIA Y COMPRESAS</t>
  </si>
  <si>
    <t>STRONICS, SRL.</t>
  </si>
  <si>
    <t>SISTEMA DE LABORATORIO</t>
  </si>
  <si>
    <t>PROPANO Y DERIVADOS, SA.</t>
  </si>
  <si>
    <t>GLP</t>
  </si>
  <si>
    <t>WW EQUIPOS MEDICOS, SRL.</t>
  </si>
  <si>
    <t>REPARACION DE AUTOCLAVE</t>
  </si>
  <si>
    <t>KATIUSCA MAGDALIZA RONDON DIPLAN</t>
  </si>
  <si>
    <t>CATETER DE VIA CENTRAL</t>
  </si>
  <si>
    <t>ROCE DENTAL, SRL</t>
  </si>
  <si>
    <t>CIRCUIMED, SRL.</t>
  </si>
  <si>
    <t>CIRCUITOS</t>
  </si>
  <si>
    <t>REY SOLUTIONS, EIRL.</t>
  </si>
  <si>
    <t>INSTALACION DE SISTEMA DE PUERTAS</t>
  </si>
  <si>
    <t>PUERTAS Y VENTANAS PICHE, SRL.</t>
  </si>
  <si>
    <t>REPARACION DE PUERTAS</t>
  </si>
  <si>
    <t>COMPAÑÍA DOMINICANA DE TELEFONOS, SA.</t>
  </si>
  <si>
    <t xml:space="preserve">TELEFONIA </t>
  </si>
  <si>
    <t>WOLFRAN BAUTISTA ACOSTA</t>
  </si>
  <si>
    <t>DECAMPS ELECTROMUEBLES, EIRL.</t>
  </si>
  <si>
    <t>COMPRA DE ELECTRODOMESTICOS</t>
  </si>
  <si>
    <t>GERSY IVAN ESTEVEZ</t>
  </si>
  <si>
    <t>SERVICIOS JURIDICOS</t>
  </si>
  <si>
    <t>A G B CORPORATION SECURITY &amp; SOLUTIONS,SRL.</t>
  </si>
  <si>
    <t>SERVICIO DE FUMIGACION</t>
  </si>
  <si>
    <t>ALBERT M. BELEN</t>
  </si>
  <si>
    <t>PAGO EXCABACION DE SANJA</t>
  </si>
  <si>
    <t>J M DANYEL TECHNOLOGY, SRL.</t>
  </si>
  <si>
    <t>COMPRA DE ASCESORIOS DE INFORMATICA</t>
  </si>
  <si>
    <t>NANCY UREÑA Y O TAPICERIA PICHE</t>
  </si>
  <si>
    <t>REPARACION DE COLCHONES</t>
  </si>
  <si>
    <t>ESCAVACION DE ZANJA</t>
  </si>
  <si>
    <t>MELVIN ANT. PERALTA</t>
  </si>
  <si>
    <t>PAGO REP DE CHIRROT EN AREA DE YESO</t>
  </si>
  <si>
    <t>FARMACIA DE  MI ESPERANZA, SRL</t>
  </si>
  <si>
    <t>MEDICAMENTOS</t>
  </si>
  <si>
    <t>LIRIANO RIVAS, SRL.</t>
  </si>
  <si>
    <t>REP DE AIRES ACONDICIONADOS</t>
  </si>
  <si>
    <t xml:space="preserve">SINOPHARMA, SRL </t>
  </si>
  <si>
    <t>TECNICARIBE DOMINICANA, SA.</t>
  </si>
  <si>
    <t>REPARACION DE PLANTA ELECTRICA</t>
  </si>
  <si>
    <t>IMPRESORA SANCHEZ RAMIREZ</t>
  </si>
  <si>
    <t>MATERIAL GASTABLE DE OFICINA</t>
  </si>
  <si>
    <t>VAL-KAMED</t>
  </si>
  <si>
    <t>MATERIAL PARA ENVOLVER</t>
  </si>
  <si>
    <t xml:space="preserve">LAS MELLIZAS </t>
  </si>
  <si>
    <t>GUILLERMO E. RODRIGUEZ</t>
  </si>
  <si>
    <t>MANT. Y REP . DE EQUIPOS</t>
  </si>
  <si>
    <t>ACQUA ASSOLUTA, SRL.</t>
  </si>
  <si>
    <t>SERVICIO DE ANALISIS DE AGUA</t>
  </si>
  <si>
    <t>SILVER PHARMA, SRL.</t>
  </si>
  <si>
    <t>IDEMESA, SRL.</t>
  </si>
  <si>
    <t>ANGEL FRAYMI MENDOZA ROSARIO</t>
  </si>
  <si>
    <t>RENTA DE ANDAMIO</t>
  </si>
  <si>
    <t>ALLINONESUPPLY, SRL.</t>
  </si>
  <si>
    <t>COMPRA DE MATERIALES DE OFICINA Y LIMPIEZA</t>
  </si>
  <si>
    <t>CABOD, EIRL.</t>
  </si>
  <si>
    <t>DIVERSIDAD DE ARTICULOS DIVERSIDART, SRL.</t>
  </si>
  <si>
    <t>COMPRA DE ASCESORIOS Y EQUIPOS INFORMATICOS</t>
  </si>
  <si>
    <t>MEDICONA, SRL.</t>
  </si>
  <si>
    <t>COMPRA DE MATERIALES DE ODONTOLOGIA</t>
  </si>
  <si>
    <t>RONAJUS FARMACEUTICA, SRL.</t>
  </si>
  <si>
    <t>AMMB IMPORTACION,SRL.</t>
  </si>
  <si>
    <t>VENTAS DIVERSAS FARMACEUTICAS, SRL.</t>
  </si>
  <si>
    <t>BIO NOVA, SRL.</t>
  </si>
  <si>
    <t>JEAN CARLOS BASULTO LOPEZ</t>
  </si>
  <si>
    <t>HOSPIFAR, SRL.</t>
  </si>
  <si>
    <t>RL SUPPLY PLUS, SRL.</t>
  </si>
  <si>
    <t>COMPRA DE MATERIALES DE OFICINA Y DE LIMPIEZA</t>
  </si>
  <si>
    <t>NIFARMED, SRL.</t>
  </si>
  <si>
    <t>COLEGIO DOMINICANO DE ODONTOLOGOS CDO</t>
  </si>
  <si>
    <t>CONGRESO A ODONTOLOGOS</t>
  </si>
  <si>
    <t>CLINIMED, SRL.</t>
  </si>
  <si>
    <t>COMPRA DE EQUIPO DE ODONTOLOGIA</t>
  </si>
  <si>
    <t>DENTAL FLEXIBLE D F, SRL.</t>
  </si>
  <si>
    <t>DISTRIBUIDORA BASULTO, EIRL.</t>
  </si>
  <si>
    <t>COMPRA DE MATERIAL GASTABLE MEDICO</t>
  </si>
  <si>
    <t>QUALIPLIERS, EIRL.</t>
  </si>
  <si>
    <t>COMPRA DE NEVERA EJECUTIVA Y TERMOMETROS</t>
  </si>
  <si>
    <t>SUMIMEDIC SRL</t>
  </si>
  <si>
    <t>NEW MED SUMINISTROS MEDICOS SRL</t>
  </si>
  <si>
    <t>NABAL SERVICES, EIRL</t>
  </si>
  <si>
    <t>ARGOS FARMACEUTICA, SRL</t>
  </si>
  <si>
    <t>QUIROFANOS L Q SRL</t>
  </si>
  <si>
    <t>PREVENCION DE INCENDIOS SANO EIRL</t>
  </si>
  <si>
    <t>COMPRA DE EXTINTOR</t>
  </si>
  <si>
    <t>MARIA NIEVES ALVAREZ REVILLA</t>
  </si>
  <si>
    <t xml:space="preserve">COMPRA DE MATERIAL GASTABLE DE OFICINA </t>
  </si>
  <si>
    <t>OXIJAYA SRL</t>
  </si>
  <si>
    <t>CONSTRUCORA AQUAMAR, SRL</t>
  </si>
  <si>
    <t xml:space="preserve">ADQUISICION SERVICIO DE REPARACION </t>
  </si>
  <si>
    <t>GERENFAR,SRL</t>
  </si>
  <si>
    <t>ADQUISICION DE MEDICAMENTO</t>
  </si>
  <si>
    <t>CAPELLAN DENTAL, SRL.</t>
  </si>
  <si>
    <t>MORFE INTERION DECORACIONES DIVERSAS, SRL.</t>
  </si>
  <si>
    <t>COMPRA DE MATERIALES PARA CORTINAS DE EMERGENCIAS</t>
  </si>
  <si>
    <t>ANEST, SRL.</t>
  </si>
  <si>
    <t>MIGUEL ANTONIO FELIX</t>
  </si>
  <si>
    <t>ADQUISICION DE MANTENIMIENTO</t>
  </si>
  <si>
    <t xml:space="preserve">CONTRATISTA FABIAN CRUZ Y ASOCIADOS </t>
  </si>
  <si>
    <t xml:space="preserve">SERVICIO DE PARAMETROS </t>
  </si>
  <si>
    <t>PHARMASEM SRL</t>
  </si>
  <si>
    <t xml:space="preserve">LISSANDER PAULINO ALMANZAR </t>
  </si>
  <si>
    <t xml:space="preserve">UTENSILIOS MEDICOS </t>
  </si>
  <si>
    <t>GRUPO XERON MEDIC, SRL</t>
  </si>
  <si>
    <t>COMPRA DE MATERIALES GAST. DE OFICINA</t>
  </si>
  <si>
    <t>DAYBE DENTAL STORE &amp; CLINIC, SRL</t>
  </si>
  <si>
    <t xml:space="preserve">MATERIAL GASTABLE DE ODONTOLOGIA </t>
  </si>
  <si>
    <t>RADLAFE GROUP SRL</t>
  </si>
  <si>
    <t>BAUCOMER, SRL</t>
  </si>
  <si>
    <t>LABORATORIO DENTAL CONCEPCION</t>
  </si>
  <si>
    <t>MATERIAL GASTABLE DE LABORATORIO</t>
  </si>
  <si>
    <t>TIROSH, SRL</t>
  </si>
  <si>
    <t>ADQUISION DE UNIFORME</t>
  </si>
  <si>
    <t>PEREZ BARROSO</t>
  </si>
  <si>
    <t>INSTITUTO NACIONAL DE AGUAS POTABLES Y ALCANTARILLADO (INAPA)</t>
  </si>
  <si>
    <t>AGUA POTABLE</t>
  </si>
  <si>
    <t>Corporea RD, SRL</t>
  </si>
  <si>
    <t>NEBULIZADOR</t>
  </si>
  <si>
    <t>Brenmarfa Import, SRL</t>
  </si>
  <si>
    <t xml:space="preserve"> DE MATERIAL GASTABLE MEDICO</t>
  </si>
  <si>
    <t>MARIA YOBON HOSTAL</t>
  </si>
  <si>
    <t xml:space="preserve">SERVICIO DE COMIDA </t>
  </si>
  <si>
    <t>ROPHARMA, SRL</t>
  </si>
  <si>
    <t>COMPRA DE MEDICAEMNTO</t>
  </si>
  <si>
    <t>PREPARADO POR:</t>
  </si>
  <si>
    <t xml:space="preserve">REVISADO POR: </t>
  </si>
  <si>
    <t>MONTO ENE-OCTUBRE 2025</t>
  </si>
  <si>
    <t>MONTO NOVIEMBRE 2025</t>
  </si>
  <si>
    <t>LAANED( LABORATORIO ANTILLANO EDMAR</t>
  </si>
  <si>
    <t>COMPRA DE MEDICAMENTO</t>
  </si>
  <si>
    <t xml:space="preserve">PHARMA GDE, SRL </t>
  </si>
  <si>
    <t xml:space="preserve">COMPRA MATERIAL GASTABLE </t>
  </si>
  <si>
    <t xml:space="preserve">TOTAL GENERAL </t>
  </si>
  <si>
    <t>Bajo las funciones que nos asisten certificamos que el valor de los ingresos percibidos al 31 de diciembre  de   2025 correspondieron  a once millones seiscientos ochenta y dos mil quinientos diez y nueve pesos con 22/100</t>
  </si>
  <si>
    <t>Dado a los 31 dias del mes de diciembre  del año   2025.</t>
  </si>
  <si>
    <t>402-1544885-9</t>
  </si>
  <si>
    <t>MIOCAURYS</t>
  </si>
  <si>
    <t xml:space="preserve"> RODRÍGUEZ DEL ORBE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</si>
  <si>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PROVINCIAL INMACULADA CONCEPCION </t>
    </r>
    <r>
      <rPr>
        <b/>
        <sz val="11"/>
        <color theme="1"/>
        <rFont val="Calibri"/>
        <family val="2"/>
        <scheme val="minor"/>
      </rPr>
      <t xml:space="preserve">        Mes:  DICIEMBRE    Año:  2025        SRS: CIBAO SUR NO2</t>
    </r>
  </si>
  <si>
    <t>MONTO DICIEMBRE 2025</t>
  </si>
  <si>
    <t>VENDIFAR, SRL</t>
  </si>
  <si>
    <t>MATERIAL GASTABLE MEDICO</t>
  </si>
  <si>
    <t>HIDROMED</t>
  </si>
  <si>
    <t>MEDICAL CURE PHARAMECUTICAL</t>
  </si>
  <si>
    <t>FARMACONAL</t>
  </si>
  <si>
    <t>MATERIAL GASTABLE</t>
  </si>
  <si>
    <t>HOSPITAL  HOSPITAL PROV. INMACULADA CONCEPCION</t>
  </si>
  <si>
    <t>Reporte clasificacion de deuda por proveedor y por periodos. Al 31 C/MES</t>
  </si>
  <si>
    <t>No.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</si>
  <si>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</si>
  <si>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</si>
  <si>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</si>
  <si>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</si>
  <si>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ESTACION HERMANOS CONTRERAS, SRL.</t>
  </si>
  <si>
    <t>DEL MEDICAL, SRL</t>
  </si>
  <si>
    <t>LAS MELLIZAS SRL</t>
  </si>
  <si>
    <t>QUALIPLIERS EIRL</t>
  </si>
  <si>
    <t>anest, srl.</t>
  </si>
  <si>
    <t xml:space="preserve">CONTRATISTA FABIAN CRUZ  Y ASOCIADOS </t>
  </si>
  <si>
    <t>LAANED( LAB, ANTILLANOS EDMAR</t>
  </si>
  <si>
    <t>PHARMA GDE, SRL</t>
  </si>
  <si>
    <t>Republica Dominicana</t>
  </si>
  <si>
    <t>SERVICIO NACIONAL DE SALUD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</si>
  <si>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____HOSPITAL__________________________________REGION_____</t>
    </r>
  </si>
  <si>
    <t>PROVINCIAL INMACULADA CONCEPCION</t>
  </si>
  <si>
    <t>Fecha</t>
  </si>
  <si>
    <t>NO. ORDEN COMPRA</t>
  </si>
  <si>
    <t>No. De Factura (NCF)</t>
  </si>
  <si>
    <t>CONCEPTO</t>
  </si>
  <si>
    <t>Valor</t>
  </si>
  <si>
    <t>MINI MARQUET CHIQU</t>
  </si>
  <si>
    <t>B1500002225</t>
  </si>
  <si>
    <t>OGIM, SRL</t>
  </si>
  <si>
    <t>B1500002243</t>
  </si>
  <si>
    <t>B1500002255</t>
  </si>
  <si>
    <t>B1500002272</t>
  </si>
  <si>
    <t>B1500002276</t>
  </si>
  <si>
    <t>B1500002281</t>
  </si>
  <si>
    <t>B1500002305</t>
  </si>
  <si>
    <t>B1500002314</t>
  </si>
  <si>
    <t>B1500002337</t>
  </si>
  <si>
    <t>B1500002329</t>
  </si>
  <si>
    <t>B1500003597</t>
  </si>
  <si>
    <t>B1500004395</t>
  </si>
  <si>
    <t>ORTRO CHEMICAL, SRL</t>
  </si>
  <si>
    <t>ALEJANDRA FARMACEUTICA SRL</t>
  </si>
  <si>
    <t>LAMBDA DIAGNOSTICOS, SRL</t>
  </si>
  <si>
    <t>UNIQUE REPRESENTACIONES</t>
  </si>
  <si>
    <t>AGUA FRISA, SRL</t>
  </si>
  <si>
    <t xml:space="preserve">GUIVAL MEDICAL </t>
  </si>
  <si>
    <t>COMLESA</t>
  </si>
  <si>
    <t>SOLO CHEPE</t>
  </si>
  <si>
    <t>PURIFICACION BOYA, SRL</t>
  </si>
  <si>
    <t>B150000068</t>
  </si>
  <si>
    <t>SURTIDORA DAURY</t>
  </si>
  <si>
    <t>B150000069</t>
  </si>
  <si>
    <t>B150000070</t>
  </si>
  <si>
    <t>B150000071</t>
  </si>
  <si>
    <t>B150000073</t>
  </si>
  <si>
    <t>B150000074</t>
  </si>
  <si>
    <t>B0100067131</t>
  </si>
  <si>
    <t>AIR LIQUIDE OXIGENO</t>
  </si>
  <si>
    <t>B0100067481</t>
  </si>
  <si>
    <t>B1500019201</t>
  </si>
  <si>
    <t>B10100076041</t>
  </si>
  <si>
    <t>B1500020532</t>
  </si>
  <si>
    <t>B1500020535</t>
  </si>
  <si>
    <t>B1500020536</t>
  </si>
  <si>
    <t>B1500020551</t>
  </si>
  <si>
    <t>B1500020585</t>
  </si>
  <si>
    <t>B1500020871</t>
  </si>
  <si>
    <t>B1500020927</t>
  </si>
  <si>
    <t>B1500020947</t>
  </si>
  <si>
    <t>B1500021452</t>
  </si>
  <si>
    <t>B1500021782</t>
  </si>
  <si>
    <t>B1500021866</t>
  </si>
  <si>
    <t>B1500021964</t>
  </si>
  <si>
    <t>b1500022322</t>
  </si>
  <si>
    <t>B1500022501</t>
  </si>
  <si>
    <t>B1500023140</t>
  </si>
  <si>
    <t>B1500023169</t>
  </si>
  <si>
    <t>B1500023691</t>
  </si>
  <si>
    <t>B1500023773</t>
  </si>
  <si>
    <t>B1500023778</t>
  </si>
  <si>
    <t>B1500023885</t>
  </si>
  <si>
    <t>B1500023900</t>
  </si>
  <si>
    <t>B1500023911</t>
  </si>
  <si>
    <t>B1500024149</t>
  </si>
  <si>
    <t>B1500024637</t>
  </si>
  <si>
    <t>b1500025168</t>
  </si>
  <si>
    <t>B1500025524</t>
  </si>
  <si>
    <t>B1500025711</t>
  </si>
  <si>
    <t>B1500025662</t>
  </si>
  <si>
    <t>B1500025757</t>
  </si>
  <si>
    <t>B1500025993</t>
  </si>
  <si>
    <t>B1500026039</t>
  </si>
  <si>
    <t>B1500026197</t>
  </si>
  <si>
    <t>B1500026198</t>
  </si>
  <si>
    <t>B1500026213</t>
  </si>
  <si>
    <t>B1500026424</t>
  </si>
  <si>
    <t>B1500026414</t>
  </si>
  <si>
    <t>B1500026587</t>
  </si>
  <si>
    <t>B1500026803</t>
  </si>
  <si>
    <t>E45000000112</t>
  </si>
  <si>
    <t>B1500026883</t>
  </si>
  <si>
    <t>E450000000230</t>
  </si>
  <si>
    <t>E450000000235</t>
  </si>
  <si>
    <t>E450000000238</t>
  </si>
  <si>
    <t>E450000000273</t>
  </si>
  <si>
    <t>E450000000342</t>
  </si>
  <si>
    <t>E450000000434</t>
  </si>
  <si>
    <t>E450000000343</t>
  </si>
  <si>
    <t>E450000000608</t>
  </si>
  <si>
    <t>E450000000612</t>
  </si>
  <si>
    <t>E450000002422</t>
  </si>
  <si>
    <t>E450000002483</t>
  </si>
  <si>
    <t>E450000002570</t>
  </si>
  <si>
    <t>E450000002642</t>
  </si>
  <si>
    <t>E450000002689</t>
  </si>
  <si>
    <t>E450000002792</t>
  </si>
  <si>
    <t>E450000002939</t>
  </si>
  <si>
    <t>E450000003016</t>
  </si>
  <si>
    <t>E450000003084</t>
  </si>
  <si>
    <t>E450000003167</t>
  </si>
  <si>
    <t>E450000003225</t>
  </si>
  <si>
    <t>E450000003331</t>
  </si>
  <si>
    <t>E450000003338</t>
  </si>
  <si>
    <t>E450000003429</t>
  </si>
  <si>
    <t>E450000003617</t>
  </si>
  <si>
    <t>E450000003501</t>
  </si>
  <si>
    <t>E450000003553</t>
  </si>
  <si>
    <t>E450000007764</t>
  </si>
  <si>
    <t>BIONUCLEAR, SRL</t>
  </si>
  <si>
    <t>E450000008117</t>
  </si>
  <si>
    <t>E450000008449</t>
  </si>
  <si>
    <t>E450000008642</t>
  </si>
  <si>
    <t>E450000008622</t>
  </si>
  <si>
    <t>B1500005017</t>
  </si>
  <si>
    <t>B1500005902</t>
  </si>
  <si>
    <t>B1500005909</t>
  </si>
  <si>
    <t>B1500005950</t>
  </si>
  <si>
    <t>E450000000166</t>
  </si>
  <si>
    <t>B1500000207</t>
  </si>
  <si>
    <t>B1500001440</t>
  </si>
  <si>
    <t>ESTACION HERMANOS CONTRERAS,SRL.</t>
  </si>
  <si>
    <t>E450000000134</t>
  </si>
  <si>
    <t>B1500000344</t>
  </si>
  <si>
    <t>JOSE REYES INSTALACIONES, SRL.</t>
  </si>
  <si>
    <t>E450000000145</t>
  </si>
  <si>
    <t>GRUPO FARMACEUTICO CAR-M</t>
  </si>
  <si>
    <t>E450000000275</t>
  </si>
  <si>
    <t>B1500004842</t>
  </si>
  <si>
    <t>B1500001482</t>
  </si>
  <si>
    <t>PROMEDCA PRODUCTOS MEDICINALES</t>
  </si>
  <si>
    <t>B1500001512</t>
  </si>
  <si>
    <t>B1500001516</t>
  </si>
  <si>
    <t>B1500001522</t>
  </si>
  <si>
    <t>B1500009949</t>
  </si>
  <si>
    <t>B1500010114</t>
  </si>
  <si>
    <t>B1500010115</t>
  </si>
  <si>
    <t>E450000000243</t>
  </si>
  <si>
    <t>E450000000282</t>
  </si>
  <si>
    <t>B1500001251</t>
  </si>
  <si>
    <t>AGUA DENNI, SRL.</t>
  </si>
  <si>
    <t>B1500001278</t>
  </si>
  <si>
    <t>B1500001279</t>
  </si>
  <si>
    <t>B1500000302</t>
  </si>
  <si>
    <t>B1500000214</t>
  </si>
  <si>
    <t>FIGUEROA CABRERA TOURS, SRL.</t>
  </si>
  <si>
    <t>E450000003665</t>
  </si>
  <si>
    <t>-</t>
  </si>
  <si>
    <t>B1500000401</t>
  </si>
  <si>
    <t>B1500000403</t>
  </si>
  <si>
    <t>E450000000143</t>
  </si>
  <si>
    <t>ROCE DENTAL, SRL.</t>
  </si>
  <si>
    <t>E450012368670</t>
  </si>
  <si>
    <t>E450012368678</t>
  </si>
  <si>
    <t>B1500000158</t>
  </si>
  <si>
    <t>B1500003340</t>
  </si>
  <si>
    <t>B1500003159</t>
  </si>
  <si>
    <t>B1500003197</t>
  </si>
  <si>
    <t>B1500003196</t>
  </si>
  <si>
    <t>B1500000615</t>
  </si>
  <si>
    <t>B15000000327</t>
  </si>
  <si>
    <t>B1500003643</t>
  </si>
  <si>
    <t>B1500003642</t>
  </si>
  <si>
    <t>B1500003641</t>
  </si>
  <si>
    <t>B1500000094</t>
  </si>
  <si>
    <t>B1500000472</t>
  </si>
  <si>
    <t>B1500000299</t>
  </si>
  <si>
    <t>B1500000238</t>
  </si>
  <si>
    <t>RADLAFE GROUP, SRL</t>
  </si>
  <si>
    <t>B1500000262</t>
  </si>
  <si>
    <t>B1500000264</t>
  </si>
  <si>
    <t>E450000004374</t>
  </si>
  <si>
    <t>E450000000214</t>
  </si>
  <si>
    <t>B1500001462</t>
  </si>
  <si>
    <t>ROPHARMA,SRL</t>
  </si>
  <si>
    <t>JHONNY VASQUEZ</t>
  </si>
  <si>
    <t>MANTENIMIENTO Y REPARACION</t>
  </si>
  <si>
    <t>ROPA DE CIRUJIA</t>
  </si>
  <si>
    <t>B1500000685</t>
  </si>
  <si>
    <t>PEDRO E. MARTES DIAZ</t>
  </si>
  <si>
    <t>COMPRA DE PROVISICION</t>
  </si>
  <si>
    <t>HPIC-2025-00232</t>
  </si>
  <si>
    <t>E450000000215</t>
  </si>
  <si>
    <t>BRENMARFA IMPORT, SRL</t>
  </si>
  <si>
    <t>HPIC-2025-00235</t>
  </si>
  <si>
    <t>B1500003701</t>
  </si>
  <si>
    <t>JEAN CARLOS BASULTO</t>
  </si>
  <si>
    <t>HPIC-2025-00237</t>
  </si>
  <si>
    <t>DISTRIBUIDORA BASULTO</t>
  </si>
  <si>
    <t>E450000095619</t>
  </si>
  <si>
    <t>SERVICIO TELEFONICO</t>
  </si>
  <si>
    <t>E450000095620</t>
  </si>
  <si>
    <t>SERVICIO INTERNET</t>
  </si>
  <si>
    <t>E310000019189</t>
  </si>
  <si>
    <t>B1500005983</t>
  </si>
  <si>
    <t>COMPRA DE PLASTICO</t>
  </si>
  <si>
    <t>B1500005979</t>
  </si>
  <si>
    <t>B1500005978</t>
  </si>
  <si>
    <t>COMPRA DE DESIFECTANTE</t>
  </si>
  <si>
    <t>B1500000217</t>
  </si>
  <si>
    <t>FIGUEROA CABRERA TOURS</t>
  </si>
  <si>
    <t>B1500000346</t>
  </si>
  <si>
    <t>B1500000420</t>
  </si>
  <si>
    <t>servicio de internet</t>
  </si>
  <si>
    <t>SERVICIOS DE TELEFONO</t>
  </si>
  <si>
    <t>HPIC-2025-00242</t>
  </si>
  <si>
    <t>B1500000326</t>
  </si>
  <si>
    <t>E450000000006</t>
  </si>
  <si>
    <t xml:space="preserve">COMPRA DE PLASTICOS </t>
  </si>
  <si>
    <t>HPIC-2025-00240</t>
  </si>
  <si>
    <t>B1500000199</t>
  </si>
  <si>
    <t xml:space="preserve">REFRIGERACION JOSE REYES, SRL </t>
  </si>
  <si>
    <t xml:space="preserve">ADQUISICION DE AIRE </t>
  </si>
  <si>
    <t>HPIC-2025-00256</t>
  </si>
  <si>
    <t>B1500001489</t>
  </si>
  <si>
    <t xml:space="preserve">COMPRA DE MEDICAMENTO </t>
  </si>
  <si>
    <t>HPIC-2025-00255</t>
  </si>
  <si>
    <t>B1500000291</t>
  </si>
  <si>
    <t>HPIC-2025-00264</t>
  </si>
  <si>
    <t>E450000000240</t>
  </si>
  <si>
    <t xml:space="preserve">COMPRA DE MATERIAL GASTABLE </t>
  </si>
  <si>
    <t>HPIC-2025-00259</t>
  </si>
  <si>
    <t>B1500000594</t>
  </si>
  <si>
    <t>HPIC-2025-00266</t>
  </si>
  <si>
    <t>E450000009226</t>
  </si>
  <si>
    <t>COMPRA DE RECTIVOS</t>
  </si>
  <si>
    <t>HPIC-2025-00226</t>
  </si>
  <si>
    <t>E450000000165</t>
  </si>
  <si>
    <t>COMPRA DE MATERIALES DE LABORATORIO</t>
  </si>
  <si>
    <t>HPIC-2025-00258</t>
  </si>
  <si>
    <t>E450000000025</t>
  </si>
  <si>
    <t>HPIC-2025-00262</t>
  </si>
  <si>
    <t>E450000000366</t>
  </si>
  <si>
    <t>COPEM HOSPICLINIC</t>
  </si>
  <si>
    <t>HPIC-2025-00263</t>
  </si>
  <si>
    <t>E450000000003</t>
  </si>
  <si>
    <t xml:space="preserve">PRODUCTO MEDICINALES </t>
  </si>
  <si>
    <t>HPIC-2025-00244</t>
  </si>
  <si>
    <t>B1500000330</t>
  </si>
  <si>
    <t xml:space="preserve">MATERIAL DE LIMPIEZA </t>
  </si>
  <si>
    <t>HPIC-2025-00265</t>
  </si>
  <si>
    <t>E450000000399</t>
  </si>
  <si>
    <t>B1500001310</t>
  </si>
  <si>
    <t>B1500001308</t>
  </si>
  <si>
    <t>HPIC-2025-00270</t>
  </si>
  <si>
    <t>B1500001452</t>
  </si>
  <si>
    <t>COMBUSTIBLE</t>
  </si>
  <si>
    <t>HPIC-2025-00271</t>
  </si>
  <si>
    <t>B150000201</t>
  </si>
  <si>
    <t>MATENIMIENTO DE AIRE</t>
  </si>
  <si>
    <t>HPIC-2025-00050</t>
  </si>
  <si>
    <t>B150000220</t>
  </si>
  <si>
    <t>E450000098083</t>
  </si>
  <si>
    <t>INTERNET</t>
  </si>
  <si>
    <t>B15000003535</t>
  </si>
  <si>
    <t>RESMA DE PAPEL</t>
  </si>
  <si>
    <t>HPIC-2025-00257</t>
  </si>
  <si>
    <t>B1500000408</t>
  </si>
  <si>
    <t>HPIC-2025-00277</t>
  </si>
  <si>
    <t>B1500000325</t>
  </si>
  <si>
    <t>HPIC-2025-00279</t>
  </si>
  <si>
    <t>E450000000081</t>
  </si>
  <si>
    <t>HPIC-2025-00181</t>
  </si>
  <si>
    <t>E450000000084</t>
  </si>
  <si>
    <t>HPIC-2025-00280</t>
  </si>
  <si>
    <t>E450000000083</t>
  </si>
  <si>
    <t>COMPRA DE TUBOS Y KIT DE ELECTROLICTOS</t>
  </si>
  <si>
    <t>HPIC-2025-00243</t>
  </si>
  <si>
    <t>E450000000074</t>
  </si>
  <si>
    <t>B1500000348</t>
  </si>
  <si>
    <t>HPIC-2025-00275</t>
  </si>
  <si>
    <t>B1500000506</t>
  </si>
  <si>
    <t>HPIC-2025-00268</t>
  </si>
  <si>
    <t>B1500000128</t>
  </si>
  <si>
    <t>ACQUA ASSOLUTA, SRL</t>
  </si>
  <si>
    <t>AGUA HEMODIALISIS</t>
  </si>
  <si>
    <t>E45000004179</t>
  </si>
  <si>
    <t>GAS</t>
  </si>
  <si>
    <t>HPIC-205-00251</t>
  </si>
  <si>
    <t>B1500010237</t>
  </si>
  <si>
    <t xml:space="preserve">MATERIALES DE OFICINA </t>
  </si>
  <si>
    <t>HPIC-2025-00261</t>
  </si>
  <si>
    <t>E450000000049</t>
  </si>
  <si>
    <t>MATERIALES GASTABLE</t>
  </si>
  <si>
    <t>B1500000686</t>
  </si>
  <si>
    <t xml:space="preserve">COMPRA DE PROVISIONES </t>
  </si>
  <si>
    <t>E450000000075</t>
  </si>
  <si>
    <t>COMPRA DE PROVISICIONES</t>
  </si>
  <si>
    <t>HPIC-2025-00289</t>
  </si>
  <si>
    <t>B1500001517</t>
  </si>
  <si>
    <t>HPIC-2025-00295</t>
  </si>
  <si>
    <t>B1500001518</t>
  </si>
  <si>
    <t>B1500001464</t>
  </si>
  <si>
    <t>B1500000203</t>
  </si>
  <si>
    <t>E450000000076</t>
  </si>
  <si>
    <t>E450000000072</t>
  </si>
  <si>
    <t>JEAN CARLOS BASULO, SRL</t>
  </si>
  <si>
    <t>ADQUISICION DE REACTIVOS</t>
  </si>
  <si>
    <t>HPIC-2025-00285</t>
  </si>
  <si>
    <t>E4500000000105</t>
  </si>
  <si>
    <t>ADQUISICION DE MATERIAL GASTABLE</t>
  </si>
  <si>
    <t>HPIC-205-00291</t>
  </si>
  <si>
    <t>E450000000271</t>
  </si>
  <si>
    <t>MEDICAMENTO</t>
  </si>
  <si>
    <t>HPIC-2025-00293</t>
  </si>
  <si>
    <t>E450000000274</t>
  </si>
  <si>
    <t>B1500000404</t>
  </si>
  <si>
    <t>HPIC-2025-00288</t>
  </si>
  <si>
    <t>E450000000011</t>
  </si>
  <si>
    <t>NIFARMED, SRL</t>
  </si>
  <si>
    <t>HPIC-2025-00292</t>
  </si>
  <si>
    <t>B1500000075</t>
  </si>
  <si>
    <t>SAMUEL PIMENTEL</t>
  </si>
  <si>
    <t>MATERIAL DE OFICINA</t>
  </si>
  <si>
    <t>E450000004243</t>
  </si>
  <si>
    <t>E450000004108</t>
  </si>
  <si>
    <t>B1500001326</t>
  </si>
  <si>
    <t>AGUA PURIFICADA</t>
  </si>
  <si>
    <t>B1500001325</t>
  </si>
  <si>
    <t>E45000000338</t>
  </si>
  <si>
    <t>FERRETERIA CAROLINA</t>
  </si>
  <si>
    <t>MATERIALES DE MATENIMIENTO</t>
  </si>
  <si>
    <t>B1500000507</t>
  </si>
  <si>
    <t>B1500002746</t>
  </si>
  <si>
    <t>B1500000078</t>
  </si>
  <si>
    <t>B1500072740</t>
  </si>
  <si>
    <t>TOTAL DEUDA</t>
  </si>
  <si>
    <t>ENC. DE CUENTAS POR PAGAR__________________________</t>
  </si>
  <si>
    <t>CERTIFICO CORRECTO:</t>
  </si>
  <si>
    <t>Relación de Cuentas por Pagar por  Antigüedad de Saldo al 31 de diciembre de 2025</t>
  </si>
  <si>
    <t>Hospital:</t>
  </si>
  <si>
    <t>SRS: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</si>
  <si>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</si>
  <si>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</si>
  <si>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</si>
  <si>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</si>
  <si>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</si>
  <si>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</si>
  <si>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</si>
  <si>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</si>
  <si>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más </t>
  </si>
  <si>
    <t>B1500021091</t>
  </si>
  <si>
    <t>B1500021321</t>
  </si>
  <si>
    <t>B1500023501</t>
  </si>
  <si>
    <t>GRUPO FRAMACEUTICO CAR-M</t>
  </si>
  <si>
    <t>FIGUERO CABRERA TOURS, SRL.</t>
  </si>
  <si>
    <t>LAANED( LABORATORIO ANTILLANOS EDMAR</t>
  </si>
  <si>
    <t>PHARMA GDE,SRL</t>
  </si>
  <si>
    <t>B1500000201</t>
  </si>
  <si>
    <t>B1500000220</t>
  </si>
  <si>
    <t>B1500003535</t>
  </si>
  <si>
    <t>E450000000105</t>
  </si>
  <si>
    <t>NIFARMED</t>
  </si>
  <si>
    <t>FERRETERIA CAROLINA, SRL</t>
  </si>
  <si>
    <t>DETALLE DE DEUDAS PENDIENTE DE PAGO AL CIERRE  DEL MES DICIEMBRE-2025</t>
  </si>
  <si>
    <t>DETALLE OBLIGACIONES CONTRAÍDAS PENDIENTES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</si>
</sst>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&quot;RD$&quot;#,##0.00_);\(&quot;RD$&quot;#,##0.00\)"/>
    <numFmt numFmtId="165" formatCode="_(&quot;RD$&quot;* #,##0.00_);_(&quot;RD$&quot;* \(#,##0.00\);_(&quot;RD$&quot;* &quot;-&quot;??_);_(@_)"/>
    <numFmt numFmtId="166" formatCode="_(* #,##0.00_);_(* \(#,##0.00\);_(* &quot;-&quot;??_);_(@_)"/>
    <numFmt numFmtId="167" formatCode="_(&quot;$&quot;* #,##0.00_);_(&quot;$&quot;* \(#,##0.00\);_(&quot;$&quot;* &quot;-&quot;??_);_(@_)"/>
    <numFmt numFmtId="168" formatCode="_-* #,##0.00\ _€_-;\-* #,##0.00\ _€_-;_-* &quot;-&quot;??\ _€_-;_-@_-"/>
    <numFmt numFmtId="169" formatCode="&quot;RD$&quot;#,##0.00"/>
    <numFmt numFmtId="171" formatCode="#,##0.0"/>
  </numFmts>
  <fonts count="4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Verdana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b/>
      <u/>
      <sz val="18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sz val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Gill Sans MT"/>
      <family val="2"/>
    </font>
    <font>
      <b/>
      <sz val="11"/>
      <color theme="0"/>
      <name val="Calibri"/>
      <family val="2"/>
      <scheme val="minor"/>
    </font>
    <font>
      <b/>
      <u/>
      <sz val="10"/>
      <name val="Arial"/>
      <family val="2"/>
    </font>
    <font>
      <b/>
      <sz val="16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12"/>
      <color theme="1"/>
      <name val="Calibri"/>
      <family val="2"/>
    </font>
    <font>
      <b/>
      <sz val="8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rgb="FF000000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168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</cellStyleXfs>
  <cellXfs count="273">
    <xf numFmtId="0" fontId="0" fillId="0" borderId="0" xfId="0"/>
    <xf numFmtId="0" fontId="4" fillId="2" borderId="2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3" borderId="11" xfId="0" applyFont="1" applyFill="1" applyBorder="1"/>
    <xf numFmtId="0" fontId="0" fillId="0" borderId="10" xfId="0" applyBorder="1"/>
    <xf numFmtId="0" fontId="0" fillId="0" borderId="8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0" borderId="8" xfId="0" applyNumberFormat="1" applyBorder="1"/>
    <xf numFmtId="14" fontId="0" fillId="0" borderId="9" xfId="0" applyNumberFormat="1" applyBorder="1"/>
    <xf numFmtId="4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2" fillId="0" borderId="14" xfId="0" applyFont="1" applyBorder="1"/>
    <xf numFmtId="0" fontId="0" fillId="0" borderId="15" xfId="0" applyBorder="1"/>
    <xf numFmtId="0" fontId="0" fillId="0" borderId="16" xfId="0" applyBorder="1"/>
    <xf numFmtId="165" fontId="0" fillId="0" borderId="14" xfId="2" applyFont="1" applyBorder="1"/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4" fillId="3" borderId="9" xfId="0" applyFont="1" applyFill="1" applyBorder="1" applyAlignment="1">
      <alignment wrapText="1"/>
    </xf>
    <xf numFmtId="0" fontId="4" fillId="3" borderId="12" xfId="0" applyFont="1" applyFill="1" applyBorder="1" applyAlignment="1">
      <alignment wrapText="1"/>
    </xf>
    <xf numFmtId="0" fontId="2" fillId="4" borderId="19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 wrapText="1"/>
    </xf>
    <xf numFmtId="1" fontId="0" fillId="0" borderId="12" xfId="0" applyNumberFormat="1" applyBorder="1"/>
    <xf numFmtId="14" fontId="0" fillId="0" borderId="12" xfId="0" applyNumberFormat="1" applyBorder="1"/>
    <xf numFmtId="165" fontId="0" fillId="0" borderId="12" xfId="2" applyFont="1" applyBorder="1"/>
    <xf numFmtId="167" fontId="0" fillId="0" borderId="0" xfId="0" applyNumberFormat="1"/>
    <xf numFmtId="0" fontId="6" fillId="0" borderId="12" xfId="0" applyFont="1" applyBorder="1"/>
    <xf numFmtId="0" fontId="0" fillId="5" borderId="12" xfId="0" applyFill="1" applyBorder="1"/>
    <xf numFmtId="165" fontId="2" fillId="5" borderId="12" xfId="2" applyFont="1" applyFill="1" applyBorder="1"/>
    <xf numFmtId="14" fontId="8" fillId="6" borderId="12" xfId="3" applyNumberFormat="1" applyFont="1" applyFill="1" applyBorder="1"/>
    <xf numFmtId="0" fontId="0" fillId="0" borderId="21" xfId="0" applyBorder="1"/>
    <xf numFmtId="165" fontId="8" fillId="6" borderId="12" xfId="2" applyFont="1" applyFill="1" applyBorder="1"/>
    <xf numFmtId="0" fontId="0" fillId="7" borderId="12" xfId="0" applyFill="1" applyBorder="1"/>
    <xf numFmtId="165" fontId="2" fillId="7" borderId="12" xfId="2" applyFont="1" applyFill="1" applyBorder="1"/>
    <xf numFmtId="0" fontId="0" fillId="0" borderId="0" xfId="0" applyAlignment="1">
      <alignment horizontal="left"/>
    </xf>
    <xf numFmtId="165" fontId="0" fillId="0" borderId="12" xfId="2" applyFont="1" applyFill="1" applyBorder="1"/>
    <xf numFmtId="0" fontId="0" fillId="0" borderId="21" xfId="0" applyBorder="1" applyAlignment="1">
      <alignment vertical="center" wrapText="1"/>
    </xf>
    <xf numFmtId="0" fontId="2" fillId="0" borderId="12" xfId="0" applyFont="1" applyBorder="1"/>
    <xf numFmtId="0" fontId="0" fillId="0" borderId="12" xfId="0" applyBorder="1" applyAlignment="1">
      <alignment wrapText="1"/>
    </xf>
    <xf numFmtId="166" fontId="1" fillId="0" borderId="10" xfId="1" applyFont="1" applyBorder="1"/>
    <xf numFmtId="1" fontId="0" fillId="0" borderId="0" xfId="0" applyNumberFormat="1" applyBorder="1"/>
    <xf numFmtId="166" fontId="0" fillId="0" borderId="10" xfId="1" applyFont="1" applyBorder="1"/>
    <xf numFmtId="0" fontId="7" fillId="0" borderId="0" xfId="3" applyFont="1"/>
    <xf numFmtId="166" fontId="0" fillId="0" borderId="9" xfId="1" applyFont="1" applyBorder="1" applyAlignment="1">
      <alignment horizontal="center"/>
    </xf>
    <xf numFmtId="0" fontId="13" fillId="0" borderId="12" xfId="0" applyFont="1" applyBorder="1"/>
    <xf numFmtId="4" fontId="12" fillId="0" borderId="12" xfId="0" applyNumberFormat="1" applyFont="1" applyBorder="1" applyAlignment="1">
      <alignment vertical="center" readingOrder="1"/>
    </xf>
    <xf numFmtId="4" fontId="13" fillId="0" borderId="12" xfId="0" applyNumberFormat="1" applyFont="1" applyBorder="1" applyAlignment="1">
      <alignment vertical="center" wrapText="1"/>
    </xf>
    <xf numFmtId="14" fontId="13" fillId="0" borderId="12" xfId="0" applyNumberFormat="1" applyFont="1" applyBorder="1" applyAlignment="1">
      <alignment horizontal="center"/>
    </xf>
    <xf numFmtId="4" fontId="13" fillId="0" borderId="12" xfId="0" applyNumberFormat="1" applyFont="1" applyBorder="1" applyAlignment="1">
      <alignment horizontal="center" vertical="center"/>
    </xf>
    <xf numFmtId="4" fontId="12" fillId="0" borderId="12" xfId="0" applyNumberFormat="1" applyFont="1" applyBorder="1" applyAlignment="1">
      <alignment horizontal="center" vertical="center" wrapText="1"/>
    </xf>
    <xf numFmtId="0" fontId="7" fillId="0" borderId="0" xfId="3" applyFont="1" applyAlignment="1">
      <alignment vertical="center"/>
    </xf>
    <xf numFmtId="0" fontId="7" fillId="7" borderId="12" xfId="3" applyFont="1" applyFill="1" applyBorder="1" applyAlignment="1">
      <alignment horizontal="center" vertical="center"/>
    </xf>
    <xf numFmtId="0" fontId="7" fillId="0" borderId="23" xfId="5" applyNumberFormat="1" applyFont="1" applyFill="1" applyBorder="1" applyAlignment="1">
      <alignment horizontal="left"/>
    </xf>
    <xf numFmtId="1" fontId="17" fillId="6" borderId="12" xfId="3" applyNumberFormat="1" applyFont="1" applyFill="1" applyBorder="1" applyAlignment="1">
      <alignment wrapText="1"/>
    </xf>
    <xf numFmtId="0" fontId="13" fillId="0" borderId="12" xfId="0" applyFont="1" applyBorder="1" applyAlignment="1">
      <alignment wrapText="1"/>
    </xf>
    <xf numFmtId="1" fontId="17" fillId="6" borderId="12" xfId="3" applyNumberFormat="1" applyFont="1" applyFill="1" applyBorder="1"/>
    <xf numFmtId="0" fontId="7" fillId="6" borderId="12" xfId="0" applyFont="1" applyFill="1" applyBorder="1" applyAlignment="1">
      <alignment horizontal="center" vertical="center" wrapText="1"/>
    </xf>
    <xf numFmtId="4" fontId="7" fillId="7" borderId="12" xfId="3" applyNumberFormat="1" applyFont="1" applyFill="1" applyBorder="1" applyAlignment="1">
      <alignment horizontal="right" vertical="center"/>
    </xf>
    <xf numFmtId="2" fontId="7" fillId="7" borderId="12" xfId="3" applyNumberFormat="1" applyFont="1" applyFill="1" applyBorder="1" applyAlignment="1">
      <alignment horizontal="right" vertical="center"/>
    </xf>
    <xf numFmtId="4" fontId="7" fillId="7" borderId="12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0" fontId="17" fillId="6" borderId="12" xfId="0" applyFont="1" applyFill="1" applyBorder="1" applyAlignment="1">
      <alignment wrapText="1"/>
    </xf>
    <xf numFmtId="0" fontId="16" fillId="10" borderId="12" xfId="3" applyFont="1" applyFill="1" applyBorder="1" applyAlignment="1">
      <alignment vertical="center" wrapText="1"/>
    </xf>
    <xf numFmtId="4" fontId="16" fillId="10" borderId="12" xfId="3" applyNumberFormat="1" applyFont="1" applyFill="1" applyBorder="1" applyAlignment="1">
      <alignment horizontal="right" vertical="center"/>
    </xf>
    <xf numFmtId="4" fontId="16" fillId="7" borderId="12" xfId="3" applyNumberFormat="1" applyFont="1" applyFill="1" applyBorder="1" applyAlignment="1">
      <alignment horizontal="right" vertical="center"/>
    </xf>
    <xf numFmtId="0" fontId="20" fillId="0" borderId="12" xfId="0" applyFont="1" applyBorder="1" applyAlignment="1">
      <alignment horizontal="center" vertical="center"/>
    </xf>
    <xf numFmtId="0" fontId="16" fillId="0" borderId="0" xfId="3" applyFont="1"/>
    <xf numFmtId="4" fontId="16" fillId="0" borderId="0" xfId="3" applyNumberFormat="1" applyFont="1"/>
    <xf numFmtId="0" fontId="0" fillId="0" borderId="21" xfId="0" applyBorder="1" applyAlignment="1">
      <alignment wrapText="1"/>
    </xf>
    <xf numFmtId="0" fontId="2" fillId="7" borderId="0" xfId="0" applyFont="1" applyFill="1" applyAlignment="1">
      <alignment horizontal="center" vertical="center" wrapText="1"/>
    </xf>
    <xf numFmtId="0" fontId="0" fillId="7" borderId="0" xfId="0" applyFill="1"/>
    <xf numFmtId="166" fontId="2" fillId="7" borderId="0" xfId="0" applyNumberFormat="1" applyFont="1" applyFill="1"/>
    <xf numFmtId="0" fontId="21" fillId="11" borderId="12" xfId="0" applyFont="1" applyFill="1" applyBorder="1" applyAlignment="1">
      <alignment horizontal="center"/>
    </xf>
    <xf numFmtId="0" fontId="21" fillId="11" borderId="24" xfId="0" applyFont="1" applyFill="1" applyBorder="1" applyAlignment="1"/>
    <xf numFmtId="0" fontId="21" fillId="0" borderId="0" xfId="0" applyFont="1" applyFill="1" applyBorder="1" applyAlignment="1"/>
    <xf numFmtId="49" fontId="2" fillId="0" borderId="12" xfId="0" applyNumberFormat="1" applyFont="1" applyBorder="1" applyAlignment="1">
      <alignment horizontal="center"/>
    </xf>
    <xf numFmtId="164" fontId="22" fillId="0" borderId="25" xfId="0" applyNumberFormat="1" applyFont="1" applyBorder="1"/>
    <xf numFmtId="0" fontId="2" fillId="0" borderId="0" xfId="0" applyFont="1" applyBorder="1" applyAlignment="1"/>
    <xf numFmtId="169" fontId="22" fillId="0" borderId="0" xfId="0" applyNumberFormat="1" applyFont="1" applyBorder="1"/>
    <xf numFmtId="0" fontId="2" fillId="0" borderId="1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0" fillId="6" borderId="0" xfId="0" applyFill="1" applyAlignment="1">
      <alignment horizontal="left"/>
    </xf>
    <xf numFmtId="166" fontId="0" fillId="0" borderId="12" xfId="11" applyFont="1" applyBorder="1"/>
    <xf numFmtId="166" fontId="2" fillId="0" borderId="12" xfId="11" applyFont="1" applyFill="1" applyBorder="1" applyAlignment="1">
      <alignment horizontal="center"/>
    </xf>
    <xf numFmtId="4" fontId="12" fillId="0" borderId="12" xfId="0" applyNumberFormat="1" applyFont="1" applyBorder="1" applyAlignment="1">
      <alignment horizontal="center" vertical="center" wrapText="1" readingOrder="1"/>
    </xf>
    <xf numFmtId="0" fontId="2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17" xfId="0" applyBorder="1"/>
    <xf numFmtId="0" fontId="2" fillId="4" borderId="12" xfId="0" applyFont="1" applyFill="1" applyBorder="1" applyAlignment="1">
      <alignment horizontal="center" wrapText="1"/>
    </xf>
    <xf numFmtId="0" fontId="24" fillId="0" borderId="12" xfId="0" applyFont="1" applyBorder="1"/>
    <xf numFmtId="0" fontId="25" fillId="0" borderId="12" xfId="0" applyFont="1" applyBorder="1"/>
    <xf numFmtId="168" fontId="25" fillId="0" borderId="12" xfId="8" applyFont="1" applyBorder="1" applyAlignment="1">
      <alignment horizontal="right"/>
    </xf>
    <xf numFmtId="0" fontId="26" fillId="6" borderId="11" xfId="0" applyFont="1" applyFill="1" applyBorder="1"/>
    <xf numFmtId="0" fontId="25" fillId="0" borderId="26" xfId="0" applyFont="1" applyBorder="1"/>
    <xf numFmtId="0" fontId="26" fillId="6" borderId="12" xfId="0" applyFont="1" applyFill="1" applyBorder="1"/>
    <xf numFmtId="0" fontId="25" fillId="6" borderId="12" xfId="0" applyFont="1" applyFill="1" applyBorder="1"/>
    <xf numFmtId="0" fontId="27" fillId="6" borderId="12" xfId="0" applyFont="1" applyFill="1" applyBorder="1"/>
    <xf numFmtId="0" fontId="28" fillId="0" borderId="0" xfId="0" applyFont="1" applyAlignment="1">
      <alignment horizontal="center"/>
    </xf>
    <xf numFmtId="0" fontId="4" fillId="0" borderId="0" xfId="0" applyFont="1" applyAlignment="1">
      <alignment horizontal="centerContinuous"/>
    </xf>
    <xf numFmtId="0" fontId="0" fillId="0" borderId="12" xfId="0" applyBorder="1" applyAlignment="1"/>
    <xf numFmtId="0" fontId="25" fillId="0" borderId="12" xfId="0" applyFont="1" applyBorder="1" applyAlignment="1"/>
    <xf numFmtId="168" fontId="29" fillId="12" borderId="12" xfId="8" applyFont="1" applyFill="1" applyBorder="1" applyAlignment="1">
      <alignment horizontal="right"/>
    </xf>
    <xf numFmtId="0" fontId="2" fillId="6" borderId="0" xfId="0" applyFont="1" applyFill="1" applyBorder="1" applyAlignment="1">
      <alignment horizontal="center"/>
    </xf>
    <xf numFmtId="168" fontId="29" fillId="6" borderId="0" xfId="8" applyFont="1" applyFill="1" applyBorder="1" applyAlignment="1">
      <alignment horizontal="right"/>
    </xf>
    <xf numFmtId="0" fontId="16" fillId="7" borderId="12" xfId="3" applyFont="1" applyFill="1" applyBorder="1" applyAlignment="1">
      <alignment horizontal="center" vertical="center" wrapText="1"/>
    </xf>
    <xf numFmtId="0" fontId="16" fillId="8" borderId="12" xfId="3" applyFont="1" applyFill="1" applyBorder="1" applyAlignment="1">
      <alignment horizontal="center" vertical="center"/>
    </xf>
    <xf numFmtId="0" fontId="16" fillId="7" borderId="12" xfId="3" applyFont="1" applyFill="1" applyBorder="1" applyAlignment="1">
      <alignment horizontal="center" vertical="center"/>
    </xf>
    <xf numFmtId="0" fontId="16" fillId="0" borderId="0" xfId="3" applyFont="1" applyAlignment="1">
      <alignment wrapText="1"/>
    </xf>
    <xf numFmtId="0" fontId="4" fillId="2" borderId="7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2" fillId="5" borderId="12" xfId="0" applyFont="1" applyFill="1" applyBorder="1" applyAlignment="1">
      <alignment horizontal="center" vertical="center" wrapText="1"/>
    </xf>
    <xf numFmtId="0" fontId="2" fillId="5" borderId="24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7" borderId="24" xfId="0" applyFont="1" applyFill="1" applyBorder="1" applyAlignment="1">
      <alignment horizontal="center" vertical="center" wrapText="1"/>
    </xf>
    <xf numFmtId="0" fontId="2" fillId="7" borderId="11" xfId="0" applyFont="1" applyFill="1" applyBorder="1" applyAlignment="1">
      <alignment horizontal="center" vertical="center" wrapText="1"/>
    </xf>
    <xf numFmtId="0" fontId="0" fillId="6" borderId="0" xfId="0" applyFill="1" applyAlignment="1">
      <alignment horizontal="left" vertical="top" wrapText="1"/>
    </xf>
    <xf numFmtId="0" fontId="0" fillId="6" borderId="0" xfId="0" applyFill="1" applyAlignment="1">
      <alignment horizontal="left"/>
    </xf>
    <xf numFmtId="0" fontId="9" fillId="0" borderId="0" xfId="0" applyFont="1" applyAlignment="1">
      <alignment horizontal="center"/>
    </xf>
    <xf numFmtId="0" fontId="14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16" fillId="0" borderId="0" xfId="3" applyFont="1" applyAlignment="1">
      <alignment horizontal="center" vertical="center"/>
    </xf>
    <xf numFmtId="0" fontId="16" fillId="7" borderId="12" xfId="3" applyFont="1" applyFill="1" applyBorder="1" applyAlignment="1">
      <alignment horizontal="center" vertical="center" wrapText="1"/>
    </xf>
    <xf numFmtId="0" fontId="16" fillId="0" borderId="0" xfId="3" applyFont="1" applyAlignment="1">
      <alignment horizontal="left" vertical="center"/>
    </xf>
    <xf numFmtId="0" fontId="16" fillId="8" borderId="12" xfId="3" applyFont="1" applyFill="1" applyBorder="1" applyAlignment="1">
      <alignment horizontal="center" vertical="center"/>
    </xf>
    <xf numFmtId="0" fontId="16" fillId="8" borderId="21" xfId="3" applyFont="1" applyFill="1" applyBorder="1" applyAlignment="1">
      <alignment horizontal="center" vertical="center"/>
    </xf>
    <xf numFmtId="0" fontId="16" fillId="8" borderId="22" xfId="3" applyFont="1" applyFill="1" applyBorder="1" applyAlignment="1">
      <alignment horizontal="center" vertical="center"/>
    </xf>
    <xf numFmtId="0" fontId="16" fillId="8" borderId="23" xfId="3" applyFont="1" applyFill="1" applyBorder="1" applyAlignment="1">
      <alignment horizontal="center" vertical="center"/>
    </xf>
    <xf numFmtId="0" fontId="16" fillId="9" borderId="21" xfId="3" applyFont="1" applyFill="1" applyBorder="1" applyAlignment="1">
      <alignment horizontal="center" vertical="center" wrapText="1"/>
    </xf>
    <xf numFmtId="0" fontId="16" fillId="9" borderId="22" xfId="3" applyFont="1" applyFill="1" applyBorder="1" applyAlignment="1">
      <alignment horizontal="center" vertical="center" wrapText="1"/>
    </xf>
    <xf numFmtId="0" fontId="16" fillId="9" borderId="23" xfId="3" applyFont="1" applyFill="1" applyBorder="1" applyAlignment="1">
      <alignment horizontal="center" vertical="center" wrapText="1"/>
    </xf>
    <xf numFmtId="0" fontId="16" fillId="8" borderId="12" xfId="3" applyFont="1" applyFill="1" applyBorder="1" applyAlignment="1">
      <alignment horizontal="center" vertical="center" wrapText="1"/>
    </xf>
    <xf numFmtId="0" fontId="16" fillId="7" borderId="12" xfId="3" applyFont="1" applyFill="1" applyBorder="1" applyAlignment="1">
      <alignment horizontal="center" vertical="center"/>
    </xf>
    <xf numFmtId="0" fontId="2" fillId="12" borderId="24" xfId="0" applyFont="1" applyFill="1" applyBorder="1" applyAlignment="1">
      <alignment horizontal="center"/>
    </xf>
    <xf numFmtId="0" fontId="2" fillId="12" borderId="26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0" fillId="0" borderId="0" xfId="12" applyFont="1" applyAlignment="1">
      <alignment horizontal="center"/>
    </xf>
    <xf numFmtId="0" fontId="31" fillId="0" borderId="27" xfId="12" applyFont="1" applyBorder="1" applyAlignment="1">
      <alignment horizontal="center"/>
    </xf>
    <xf numFmtId="0" fontId="31" fillId="0" borderId="0" xfId="12" applyFont="1" applyBorder="1" applyAlignment="1">
      <alignment horizontal="center"/>
    </xf>
    <xf numFmtId="0" fontId="31" fillId="13" borderId="28" xfId="12" applyFont="1" applyFill="1" applyBorder="1" applyAlignment="1">
      <alignment horizontal="center"/>
    </xf>
    <xf numFmtId="0" fontId="31" fillId="13" borderId="29" xfId="12" applyFont="1" applyFill="1" applyBorder="1" applyAlignment="1">
      <alignment horizontal="center"/>
    </xf>
    <xf numFmtId="0" fontId="31" fillId="13" borderId="30" xfId="12" applyFont="1" applyFill="1" applyBorder="1" applyAlignment="1">
      <alignment horizontal="center"/>
    </xf>
    <xf numFmtId="0" fontId="31" fillId="13" borderId="0" xfId="12" applyFont="1" applyFill="1" applyBorder="1" applyAlignment="1">
      <alignment horizontal="center"/>
    </xf>
    <xf numFmtId="0" fontId="31" fillId="13" borderId="31" xfId="12" applyFont="1" applyFill="1" applyBorder="1" applyAlignment="1">
      <alignment horizontal="center"/>
    </xf>
    <xf numFmtId="0" fontId="31" fillId="13" borderId="32" xfId="12" applyFont="1" applyFill="1" applyBorder="1" applyAlignment="1">
      <alignment horizontal="center"/>
    </xf>
    <xf numFmtId="0" fontId="31" fillId="13" borderId="33" xfId="12" applyFont="1" applyFill="1" applyBorder="1" applyAlignment="1">
      <alignment horizontal="center"/>
    </xf>
    <xf numFmtId="0" fontId="31" fillId="13" borderId="34" xfId="12" applyFont="1" applyFill="1" applyBorder="1" applyAlignment="1">
      <alignment horizontal="center"/>
    </xf>
    <xf numFmtId="0" fontId="32" fillId="13" borderId="35" xfId="12" applyFont="1" applyFill="1" applyBorder="1" applyAlignment="1">
      <alignment horizontal="center"/>
    </xf>
    <xf numFmtId="0" fontId="31" fillId="13" borderId="35" xfId="12" applyFont="1" applyFill="1" applyBorder="1" applyAlignment="1">
      <alignment horizontal="center"/>
    </xf>
    <xf numFmtId="0" fontId="31" fillId="13" borderId="36" xfId="12" applyFont="1" applyFill="1" applyBorder="1" applyAlignment="1">
      <alignment horizontal="center"/>
    </xf>
    <xf numFmtId="0" fontId="31" fillId="13" borderId="12" xfId="12" applyFont="1" applyFill="1" applyBorder="1" applyAlignment="1">
      <alignment horizontal="center"/>
    </xf>
    <xf numFmtId="0" fontId="31" fillId="13" borderId="37" xfId="12" applyFont="1" applyFill="1" applyBorder="1" applyAlignment="1">
      <alignment horizontal="center"/>
    </xf>
    <xf numFmtId="0" fontId="33" fillId="0" borderId="35" xfId="12" applyFont="1" applyBorder="1" applyAlignment="1">
      <alignment horizontal="center"/>
    </xf>
    <xf numFmtId="0" fontId="34" fillId="6" borderId="12" xfId="0" applyFont="1" applyFill="1" applyBorder="1" applyAlignment="1">
      <alignment horizontal="left"/>
    </xf>
    <xf numFmtId="4" fontId="33" fillId="0" borderId="35" xfId="12" applyNumberFormat="1" applyFont="1" applyBorder="1" applyAlignment="1">
      <alignment horizontal="right"/>
    </xf>
    <xf numFmtId="166" fontId="35" fillId="6" borderId="12" xfId="1" applyFont="1" applyFill="1" applyBorder="1"/>
    <xf numFmtId="166" fontId="36" fillId="0" borderId="12" xfId="1" applyFont="1" applyFill="1" applyBorder="1"/>
    <xf numFmtId="166" fontId="35" fillId="0" borderId="12" xfId="1" applyFont="1" applyFill="1" applyBorder="1"/>
    <xf numFmtId="166" fontId="35" fillId="0" borderId="12" xfId="0" applyNumberFormat="1" applyFont="1" applyBorder="1"/>
    <xf numFmtId="4" fontId="31" fillId="0" borderId="35" xfId="12" applyNumberFormat="1" applyFont="1" applyBorder="1" applyAlignment="1">
      <alignment horizontal="right"/>
    </xf>
    <xf numFmtId="0" fontId="26" fillId="6" borderId="12" xfId="0" applyFont="1" applyFill="1" applyBorder="1" applyAlignment="1">
      <alignment horizontal="left"/>
    </xf>
    <xf numFmtId="14" fontId="34" fillId="6" borderId="12" xfId="0" applyNumberFormat="1" applyFont="1" applyFill="1" applyBorder="1" applyAlignment="1">
      <alignment horizontal="left"/>
    </xf>
    <xf numFmtId="0" fontId="28" fillId="6" borderId="12" xfId="0" applyFont="1" applyFill="1" applyBorder="1"/>
    <xf numFmtId="0" fontId="5" fillId="6" borderId="12" xfId="0" applyFont="1" applyFill="1" applyBorder="1"/>
    <xf numFmtId="0" fontId="5" fillId="6" borderId="12" xfId="0" applyFont="1" applyFill="1" applyBorder="1" applyAlignment="1">
      <alignment horizontal="left"/>
    </xf>
    <xf numFmtId="14" fontId="5" fillId="6" borderId="12" xfId="0" applyNumberFormat="1" applyFont="1" applyFill="1" applyBorder="1"/>
    <xf numFmtId="0" fontId="5" fillId="6" borderId="11" xfId="0" applyFont="1" applyFill="1" applyBorder="1"/>
    <xf numFmtId="0" fontId="33" fillId="0" borderId="28" xfId="12" applyFont="1" applyBorder="1" applyAlignment="1">
      <alignment horizontal="center"/>
    </xf>
    <xf numFmtId="0" fontId="26" fillId="6" borderId="38" xfId="0" applyFont="1" applyFill="1" applyBorder="1"/>
    <xf numFmtId="4" fontId="33" fillId="0" borderId="28" xfId="12" applyNumberFormat="1" applyFont="1" applyBorder="1" applyAlignment="1">
      <alignment horizontal="right"/>
    </xf>
    <xf numFmtId="166" fontId="35" fillId="6" borderId="21" xfId="1" applyFont="1" applyFill="1" applyBorder="1"/>
    <xf numFmtId="4" fontId="31" fillId="0" borderId="28" xfId="12" applyNumberFormat="1" applyFont="1" applyBorder="1" applyAlignment="1">
      <alignment horizontal="right"/>
    </xf>
    <xf numFmtId="0" fontId="33" fillId="0" borderId="12" xfId="12" applyFont="1" applyBorder="1" applyAlignment="1">
      <alignment horizontal="center"/>
    </xf>
    <xf numFmtId="4" fontId="33" fillId="0" borderId="12" xfId="12" applyNumberFormat="1" applyFont="1" applyBorder="1" applyAlignment="1">
      <alignment horizontal="right"/>
    </xf>
    <xf numFmtId="0" fontId="31" fillId="13" borderId="34" xfId="12" applyFont="1" applyFill="1" applyBorder="1"/>
    <xf numFmtId="0" fontId="31" fillId="13" borderId="27" xfId="12" applyFont="1" applyFill="1" applyBorder="1"/>
    <xf numFmtId="4" fontId="31" fillId="13" borderId="23" xfId="12" applyNumberFormat="1" applyFont="1" applyFill="1" applyBorder="1"/>
    <xf numFmtId="4" fontId="37" fillId="13" borderId="37" xfId="12" applyNumberFormat="1" applyFont="1" applyFill="1" applyBorder="1" applyAlignment="1">
      <alignment horizontal="right"/>
    </xf>
    <xf numFmtId="171" fontId="38" fillId="0" borderId="0" xfId="0" applyNumberFormat="1" applyFont="1" applyAlignment="1">
      <alignment horizontal="right"/>
    </xf>
    <xf numFmtId="0" fontId="4" fillId="0" borderId="17" xfId="0" applyFont="1" applyBorder="1"/>
    <xf numFmtId="0" fontId="4" fillId="0" borderId="12" xfId="0" applyFont="1" applyBorder="1" applyAlignment="1">
      <alignment horizontal="center"/>
    </xf>
    <xf numFmtId="0" fontId="2" fillId="0" borderId="12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14" fontId="39" fillId="6" borderId="12" xfId="0" applyNumberFormat="1" applyFont="1" applyFill="1" applyBorder="1"/>
    <xf numFmtId="0" fontId="5" fillId="0" borderId="12" xfId="0" applyFont="1" applyBorder="1" applyAlignment="1">
      <alignment horizontal="center"/>
    </xf>
    <xf numFmtId="0" fontId="39" fillId="0" borderId="12" xfId="0" applyFont="1" applyFill="1" applyBorder="1"/>
    <xf numFmtId="0" fontId="5" fillId="0" borderId="12" xfId="0" applyFont="1" applyBorder="1"/>
    <xf numFmtId="165" fontId="5" fillId="0" borderId="12" xfId="0" applyNumberFormat="1" applyFont="1" applyFill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14" fontId="39" fillId="0" borderId="12" xfId="0" applyNumberFormat="1" applyFont="1" applyBorder="1"/>
    <xf numFmtId="0" fontId="5" fillId="0" borderId="12" xfId="0" applyFont="1" applyFill="1" applyBorder="1"/>
    <xf numFmtId="0" fontId="39" fillId="6" borderId="12" xfId="0" applyFont="1" applyFill="1" applyBorder="1"/>
    <xf numFmtId="165" fontId="5" fillId="6" borderId="12" xfId="8" applyNumberFormat="1" applyFont="1" applyFill="1" applyBorder="1" applyAlignment="1">
      <alignment horizontal="center"/>
    </xf>
    <xf numFmtId="0" fontId="39" fillId="0" borderId="12" xfId="0" applyFont="1" applyBorder="1"/>
    <xf numFmtId="168" fontId="17" fillId="0" borderId="12" xfId="8" applyFont="1" applyBorder="1"/>
    <xf numFmtId="0" fontId="28" fillId="0" borderId="12" xfId="0" applyFont="1" applyBorder="1"/>
    <xf numFmtId="0" fontId="17" fillId="0" borderId="12" xfId="0" applyFont="1" applyFill="1" applyBorder="1"/>
    <xf numFmtId="14" fontId="39" fillId="0" borderId="12" xfId="0" applyNumberFormat="1" applyFont="1" applyFill="1" applyBorder="1"/>
    <xf numFmtId="14" fontId="17" fillId="0" borderId="12" xfId="0" applyNumberFormat="1" applyFont="1" applyBorder="1"/>
    <xf numFmtId="0" fontId="17" fillId="0" borderId="12" xfId="0" applyFont="1" applyBorder="1"/>
    <xf numFmtId="165" fontId="28" fillId="6" borderId="12" xfId="8" applyNumberFormat="1" applyFont="1" applyFill="1" applyBorder="1" applyAlignment="1">
      <alignment horizontal="center"/>
    </xf>
    <xf numFmtId="165" fontId="5" fillId="0" borderId="12" xfId="8" applyNumberFormat="1" applyFont="1" applyFill="1" applyBorder="1" applyAlignment="1">
      <alignment horizontal="center"/>
    </xf>
    <xf numFmtId="165" fontId="5" fillId="0" borderId="12" xfId="8" applyNumberFormat="1" applyFont="1" applyBorder="1" applyAlignment="1">
      <alignment horizontal="center"/>
    </xf>
    <xf numFmtId="0" fontId="5" fillId="0" borderId="12" xfId="0" applyNumberFormat="1" applyFont="1" applyFill="1" applyBorder="1"/>
    <xf numFmtId="0" fontId="5" fillId="0" borderId="12" xfId="0" applyFont="1" applyFill="1" applyBorder="1" applyAlignment="1">
      <alignment horizontal="left"/>
    </xf>
    <xf numFmtId="0" fontId="5" fillId="6" borderId="12" xfId="0" applyNumberFormat="1" applyFont="1" applyFill="1" applyBorder="1"/>
    <xf numFmtId="165" fontId="5" fillId="0" borderId="21" xfId="8" applyNumberFormat="1" applyFont="1" applyFill="1" applyBorder="1" applyAlignment="1">
      <alignment horizontal="center"/>
    </xf>
    <xf numFmtId="165" fontId="5" fillId="6" borderId="22" xfId="8" applyNumberFormat="1" applyFont="1" applyFill="1" applyBorder="1" applyAlignment="1">
      <alignment horizontal="center"/>
    </xf>
    <xf numFmtId="14" fontId="17" fillId="6" borderId="12" xfId="0" applyNumberFormat="1" applyFont="1" applyFill="1" applyBorder="1"/>
    <xf numFmtId="0" fontId="17" fillId="6" borderId="12" xfId="0" applyFont="1" applyFill="1" applyBorder="1"/>
    <xf numFmtId="14" fontId="39" fillId="6" borderId="12" xfId="0" applyNumberFormat="1" applyFont="1" applyFill="1" applyBorder="1" applyAlignment="1">
      <alignment horizontal="left"/>
    </xf>
    <xf numFmtId="14" fontId="5" fillId="0" borderId="12" xfId="0" applyNumberFormat="1" applyFont="1" applyFill="1" applyBorder="1"/>
    <xf numFmtId="0" fontId="5" fillId="0" borderId="12" xfId="0" applyFont="1" applyBorder="1" applyAlignment="1">
      <alignment horizontal="center" vertical="top"/>
    </xf>
    <xf numFmtId="165" fontId="1" fillId="0" borderId="12" xfId="8" applyNumberFormat="1" applyFont="1" applyBorder="1" applyAlignment="1">
      <alignment horizontal="center"/>
    </xf>
    <xf numFmtId="0" fontId="4" fillId="0" borderId="12" xfId="0" applyFont="1" applyBorder="1" applyAlignment="1">
      <alignment horizontal="left"/>
    </xf>
    <xf numFmtId="165" fontId="0" fillId="0" borderId="12" xfId="0" applyNumberFormat="1" applyBorder="1" applyAlignment="1">
      <alignment horizontal="center"/>
    </xf>
    <xf numFmtId="0" fontId="4" fillId="0" borderId="24" xfId="0" applyFont="1" applyBorder="1" applyAlignment="1">
      <alignment horizontal="left"/>
    </xf>
    <xf numFmtId="165" fontId="2" fillId="0" borderId="12" xfId="0" applyNumberFormat="1" applyFont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left"/>
    </xf>
    <xf numFmtId="4" fontId="0" fillId="0" borderId="0" xfId="0" applyNumberFormat="1" applyBorder="1"/>
    <xf numFmtId="0" fontId="40" fillId="0" borderId="0" xfId="0" applyFont="1"/>
    <xf numFmtId="0" fontId="41" fillId="0" borderId="0" xfId="0" applyFont="1" applyAlignment="1">
      <alignment horizontal="center"/>
    </xf>
    <xf numFmtId="0" fontId="41" fillId="0" borderId="0" xfId="0" applyFont="1"/>
    <xf numFmtId="0" fontId="40" fillId="0" borderId="0" xfId="0" applyFont="1" applyAlignment="1">
      <alignment horizontal="left"/>
    </xf>
    <xf numFmtId="0" fontId="42" fillId="0" borderId="0" xfId="0" applyFont="1"/>
    <xf numFmtId="0" fontId="42" fillId="0" borderId="0" xfId="0" applyFont="1" applyAlignment="1">
      <alignment wrapText="1"/>
    </xf>
    <xf numFmtId="165" fontId="43" fillId="0" borderId="12" xfId="0" applyNumberFormat="1" applyFont="1" applyBorder="1"/>
    <xf numFmtId="0" fontId="39" fillId="0" borderId="12" xfId="0" applyNumberFormat="1" applyFont="1" applyFill="1" applyBorder="1"/>
    <xf numFmtId="165" fontId="39" fillId="0" borderId="12" xfId="0" applyNumberFormat="1" applyFont="1" applyFill="1" applyBorder="1"/>
    <xf numFmtId="0" fontId="43" fillId="0" borderId="12" xfId="0" applyFont="1" applyBorder="1"/>
    <xf numFmtId="168" fontId="39" fillId="6" borderId="12" xfId="8" applyFont="1" applyFill="1" applyBorder="1"/>
    <xf numFmtId="165" fontId="43" fillId="6" borderId="12" xfId="0" applyNumberFormat="1" applyFont="1" applyFill="1" applyBorder="1"/>
    <xf numFmtId="168" fontId="17" fillId="6" borderId="12" xfId="8" applyFont="1" applyFill="1" applyBorder="1"/>
    <xf numFmtId="168" fontId="39" fillId="0" borderId="12" xfId="8" applyFont="1" applyFill="1" applyBorder="1"/>
    <xf numFmtId="168" fontId="39" fillId="0" borderId="12" xfId="8" applyFont="1" applyBorder="1"/>
    <xf numFmtId="166" fontId="39" fillId="0" borderId="12" xfId="8" applyNumberFormat="1" applyFont="1" applyFill="1" applyBorder="1"/>
    <xf numFmtId="166" fontId="39" fillId="6" borderId="12" xfId="8" applyNumberFormat="1" applyFont="1" applyFill="1" applyBorder="1"/>
    <xf numFmtId="168" fontId="39" fillId="0" borderId="12" xfId="0" applyNumberFormat="1" applyFont="1" applyFill="1" applyBorder="1" applyAlignment="1">
      <alignment horizontal="center"/>
    </xf>
    <xf numFmtId="168" fontId="39" fillId="6" borderId="12" xfId="8" applyFont="1" applyFill="1" applyBorder="1" applyAlignment="1">
      <alignment horizontal="right"/>
    </xf>
    <xf numFmtId="0" fontId="26" fillId="0" borderId="0" xfId="0" applyFont="1"/>
    <xf numFmtId="168" fontId="39" fillId="0" borderId="12" xfId="8" applyFont="1" applyFill="1" applyBorder="1" applyAlignment="1">
      <alignment horizontal="right"/>
    </xf>
    <xf numFmtId="165" fontId="44" fillId="14" borderId="12" xfId="0" applyNumberFormat="1" applyFont="1" applyFill="1" applyBorder="1"/>
    <xf numFmtId="165" fontId="45" fillId="0" borderId="0" xfId="0" applyNumberFormat="1" applyFont="1"/>
  </cellXfs>
  <cellStyles count="13">
    <cellStyle name="Millares" xfId="1" builtinId="3"/>
    <cellStyle name="Millares 2" xfId="5"/>
    <cellStyle name="Millares 2 2" xfId="8"/>
    <cellStyle name="Millares 2 2 2" xfId="10"/>
    <cellStyle name="Millares 3" xfId="7"/>
    <cellStyle name="Millares 4" xfId="11"/>
    <cellStyle name="Millares 9" xfId="4"/>
    <cellStyle name="Moneda" xfId="2" builtinId="4"/>
    <cellStyle name="Normal" xfId="0" builtinId="0"/>
    <cellStyle name="Normal 2" xfId="6"/>
    <cellStyle name="Normal 2 2" xfId="3"/>
    <cellStyle name="Normal 3" xfId="12"/>
    <cellStyle name="Porcentaje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657225</xdr:colOff>
      <xdr:row>5</xdr:row>
      <xdr:rowOff>28575</xdr:rowOff>
    </xdr:to>
    <xdr:pic>
      <xdr:nvPicPr>
        <xdr:cNvPr id="2" name="Imagen 1" descr="C:\Users\direccion\Desktop\LOGO NUEVO\HOSPITAL-PROVINCIAL-INMACULADA-CONCEPCIÃ“N-02.pn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294" r="20061" b="26335"/>
        <a:stretch/>
      </xdr:blipFill>
      <xdr:spPr bwMode="auto">
        <a:xfrm>
          <a:off x="76200" y="57150"/>
          <a:ext cx="2628900" cy="7715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2</xdr:col>
      <xdr:colOff>657225</xdr:colOff>
      <xdr:row>5</xdr:row>
      <xdr:rowOff>28575</xdr:rowOff>
    </xdr:to>
    <xdr:pic>
      <xdr:nvPicPr>
        <xdr:cNvPr id="4" name="Imagen 1" descr="C:\Users\direccion\Desktop\LOGO NUEVO\HOSPITAL-PROVINCIAL-INMACULADA-CONCEPCIÃ“N-02.pn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294" r="20061" b="26335"/>
        <a:stretch/>
      </xdr:blipFill>
      <xdr:spPr bwMode="auto">
        <a:xfrm>
          <a:off x="76200" y="0"/>
          <a:ext cx="2305050" cy="9239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9525</xdr:rowOff>
    </xdr:from>
    <xdr:to>
      <xdr:col>3</xdr:col>
      <xdr:colOff>758324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Users\usuario\Desktop\RRHH\CARPETA%20DE%20N&#211;MINAS\NOMINA%20INTERNA%202022\MODELO%20NO&#769;MINA%20ACTUALIZADA%20PARA%20LA%20REGIONAL%2016%20DE%20NOV%202022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 refreshError="1"/>
      <sheetData sheetId="1" refreshError="1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32"/>
  <sheetViews>
    <sheetView showGridLines="0" topLeftCell="A7" zoomScaleNormal="100" workbookViewId="0">
      <selection activeCell="D13" sqref="D11:D13"/>
    </sheetView>
  </sheetViews>
  <sheetFormatPr baseColWidth="10" defaultRowHeight="15"/>
  <cols>
    <col min="1" max="1" width="5.42578125" customWidth="1"/>
    <col min="2" max="2" width="61.5703125" customWidth="1"/>
    <col min="5" max="5" width="18.7109375" customWidth="1"/>
    <col min="6" max="6" width="23.28515625" customWidth="1"/>
    <col min="7" max="7" width="15.42578125" customWidth="1"/>
    <col min="8" max="8" width="16.85546875" customWidth="1"/>
  </cols>
  <sheetData>
    <row r="4" spans="2:9" ht="18.75">
      <c r="B4" s="127" t="s">
        <v>0</v>
      </c>
      <c r="C4" s="127"/>
      <c r="D4" s="127"/>
      <c r="E4" s="127"/>
      <c r="F4" s="127"/>
      <c r="G4" s="127"/>
      <c r="H4" s="127"/>
    </row>
    <row r="5" spans="2:9" ht="18.75">
      <c r="B5" s="127" t="s">
        <v>1</v>
      </c>
      <c r="C5" s="127"/>
      <c r="D5" s="127"/>
      <c r="E5" s="127"/>
      <c r="F5" s="127"/>
      <c r="G5" s="127"/>
      <c r="H5" s="127"/>
    </row>
    <row r="6" spans="2:9" ht="18.75">
      <c r="B6" s="127" t="s">
        <v>765</v>
      </c>
      <c r="C6" s="127"/>
      <c r="D6" s="127"/>
      <c r="E6" s="127"/>
      <c r="F6" s="127"/>
      <c r="G6" s="127"/>
      <c r="H6" s="127"/>
    </row>
    <row r="7" spans="2:9" ht="19.5" thickBot="1">
      <c r="B7" s="128" t="s">
        <v>53</v>
      </c>
      <c r="C7" s="128"/>
      <c r="D7" s="128"/>
      <c r="E7" s="128"/>
      <c r="F7" s="128"/>
      <c r="G7" s="128"/>
      <c r="H7" s="128"/>
    </row>
    <row r="8" spans="2:9" ht="15.75">
      <c r="B8" s="1" t="s">
        <v>2</v>
      </c>
      <c r="C8" s="129" t="s">
        <v>3</v>
      </c>
      <c r="D8" s="130"/>
      <c r="E8" s="1" t="s">
        <v>4</v>
      </c>
      <c r="F8" s="2" t="s">
        <v>5</v>
      </c>
      <c r="G8" s="3" t="s">
        <v>6</v>
      </c>
      <c r="H8" s="4" t="s">
        <v>7</v>
      </c>
    </row>
    <row r="9" spans="2:9" ht="15.75">
      <c r="B9" s="120" t="s">
        <v>18</v>
      </c>
      <c r="C9" s="122" t="s">
        <v>8</v>
      </c>
      <c r="D9" s="123"/>
      <c r="E9" s="5"/>
      <c r="F9" s="124" t="s">
        <v>19</v>
      </c>
      <c r="G9" s="125"/>
      <c r="H9" s="126"/>
    </row>
    <row r="10" spans="2:9" ht="31.5">
      <c r="B10" s="121"/>
      <c r="C10" s="6" t="s">
        <v>23</v>
      </c>
      <c r="D10" s="7" t="s">
        <v>24</v>
      </c>
      <c r="E10" s="5" t="s">
        <v>9</v>
      </c>
      <c r="F10" s="8" t="s">
        <v>20</v>
      </c>
      <c r="G10" s="28" t="s">
        <v>21</v>
      </c>
      <c r="H10" s="27" t="s">
        <v>22</v>
      </c>
    </row>
    <row r="11" spans="2:9">
      <c r="B11" s="9" t="s">
        <v>10</v>
      </c>
      <c r="C11" s="15">
        <v>45658</v>
      </c>
      <c r="D11" s="16">
        <v>46022</v>
      </c>
      <c r="E11" s="51">
        <v>694252.5</v>
      </c>
      <c r="F11" s="12"/>
      <c r="G11" s="13"/>
      <c r="H11" s="53" t="s">
        <v>57</v>
      </c>
    </row>
    <row r="12" spans="2:9">
      <c r="B12" s="9" t="s">
        <v>50</v>
      </c>
      <c r="C12" s="15">
        <v>45658</v>
      </c>
      <c r="D12" s="16">
        <v>46022</v>
      </c>
      <c r="E12" s="51">
        <f>52523.69</f>
        <v>52523.69</v>
      </c>
      <c r="F12" s="12"/>
      <c r="G12" s="13"/>
      <c r="H12" s="14"/>
    </row>
    <row r="13" spans="2:9">
      <c r="B13" s="9" t="s">
        <v>51</v>
      </c>
      <c r="C13" s="15">
        <v>45474</v>
      </c>
      <c r="D13" s="16">
        <v>46022</v>
      </c>
      <c r="E13" s="49">
        <f>2466945.68+1150394.222</f>
        <v>3617339.9020000002</v>
      </c>
      <c r="F13" s="12"/>
      <c r="G13" s="13"/>
      <c r="H13" s="14"/>
    </row>
    <row r="14" spans="2:9">
      <c r="B14" s="9" t="s">
        <v>15</v>
      </c>
      <c r="C14" s="15"/>
      <c r="D14" s="16"/>
      <c r="E14" s="17"/>
      <c r="F14" s="12"/>
      <c r="G14" s="13"/>
      <c r="H14" s="14"/>
    </row>
    <row r="15" spans="2:9">
      <c r="B15" s="9" t="s">
        <v>52</v>
      </c>
      <c r="C15" s="15">
        <v>45658</v>
      </c>
      <c r="D15" s="16">
        <v>46022</v>
      </c>
      <c r="E15" s="17">
        <v>0</v>
      </c>
      <c r="F15" s="12"/>
      <c r="G15" s="13"/>
      <c r="H15" s="14"/>
      <c r="I15" t="s">
        <v>57</v>
      </c>
    </row>
    <row r="16" spans="2:9">
      <c r="B16" s="9" t="s">
        <v>16</v>
      </c>
      <c r="C16" s="15"/>
      <c r="D16" s="16"/>
      <c r="E16" s="17"/>
      <c r="F16" s="12"/>
      <c r="G16" s="13"/>
      <c r="H16" s="14"/>
    </row>
    <row r="17" spans="1:9">
      <c r="B17" s="9" t="s">
        <v>17</v>
      </c>
      <c r="C17" s="15">
        <v>45658</v>
      </c>
      <c r="D17" s="16">
        <v>46022</v>
      </c>
      <c r="E17" s="17">
        <v>105700</v>
      </c>
      <c r="F17" s="12"/>
      <c r="G17" s="13"/>
      <c r="H17" s="14"/>
    </row>
    <row r="18" spans="1:9">
      <c r="B18" s="9" t="s">
        <v>11</v>
      </c>
      <c r="C18" s="10"/>
      <c r="D18" s="11"/>
      <c r="E18" s="9"/>
      <c r="F18" s="18"/>
      <c r="G18" s="19"/>
      <c r="H18" s="11"/>
    </row>
    <row r="19" spans="1:9" ht="15.75" thickBot="1">
      <c r="B19" s="20" t="s">
        <v>12</v>
      </c>
      <c r="C19" s="21"/>
      <c r="D19" s="22"/>
      <c r="E19" s="23">
        <f>SUM(E11:E18)</f>
        <v>4469816.0920000002</v>
      </c>
      <c r="F19" s="23"/>
      <c r="G19" s="23"/>
      <c r="H19" s="23"/>
    </row>
    <row r="21" spans="1:9" ht="15.75">
      <c r="B21" s="24" t="s">
        <v>13</v>
      </c>
    </row>
    <row r="25" spans="1:9">
      <c r="B25" s="131" t="s">
        <v>43</v>
      </c>
      <c r="C25" s="131"/>
      <c r="E25" s="131" t="s">
        <v>44</v>
      </c>
      <c r="F25" s="131"/>
    </row>
    <row r="28" spans="1:9">
      <c r="B28" s="132"/>
      <c r="C28" s="132"/>
      <c r="E28" s="132"/>
      <c r="F28" s="132"/>
    </row>
    <row r="29" spans="1:9">
      <c r="B29" s="133"/>
      <c r="C29" s="133"/>
      <c r="E29" s="133"/>
      <c r="F29" s="133"/>
    </row>
    <row r="30" spans="1:9">
      <c r="B30" s="25"/>
      <c r="C30" s="25"/>
    </row>
    <row r="31" spans="1:9">
      <c r="A31" s="131" t="s">
        <v>45</v>
      </c>
      <c r="B31" s="131"/>
      <c r="C31" s="131"/>
      <c r="D31" s="131"/>
      <c r="E31" s="131"/>
      <c r="F31" s="131"/>
      <c r="G31" s="131"/>
      <c r="H31" s="131"/>
      <c r="I31" s="131"/>
    </row>
    <row r="32" spans="1:9">
      <c r="B32" s="26"/>
      <c r="C32" s="26" t="s">
        <v>14</v>
      </c>
      <c r="D32" s="26"/>
      <c r="E32" s="26"/>
      <c r="F32" s="26"/>
    </row>
  </sheetData>
  <mergeCells count="15">
    <mergeCell ref="A31:I31"/>
    <mergeCell ref="B25:C25"/>
    <mergeCell ref="E25:F25"/>
    <mergeCell ref="B28:C28"/>
    <mergeCell ref="E28:F28"/>
    <mergeCell ref="B29:C29"/>
    <mergeCell ref="E29:F29"/>
    <mergeCell ref="B9:B10"/>
    <mergeCell ref="C9:D9"/>
    <mergeCell ref="F9:H9"/>
    <mergeCell ref="B4:H4"/>
    <mergeCell ref="B5:H5"/>
    <mergeCell ref="B6:H6"/>
    <mergeCell ref="B7:H7"/>
    <mergeCell ref="C8:D8"/>
  </mergeCells>
  <pageMargins left="0.70866141732283472" right="0.70866141732283472" top="0.74803149606299213" bottom="0.74803149606299213" header="0.31496062992125984" footer="0.31496062992125984"/>
  <pageSetup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56"/>
  <sheetViews>
    <sheetView showGridLines="0" zoomScaleNormal="100" workbookViewId="0">
      <selection activeCell="G7" sqref="G7"/>
    </sheetView>
  </sheetViews>
  <sheetFormatPr baseColWidth="10" defaultRowHeight="15"/>
  <cols>
    <col min="1" max="1" width="19.85546875" customWidth="1"/>
    <col min="2" max="2" width="44.85546875" customWidth="1"/>
    <col min="3" max="3" width="25.28515625" customWidth="1"/>
    <col min="4" max="4" width="22.42578125" customWidth="1"/>
    <col min="5" max="5" width="20" customWidth="1"/>
    <col min="6" max="6" width="16.28515625" customWidth="1"/>
    <col min="7" max="7" width="12.28515625" bestFit="1" customWidth="1"/>
    <col min="10" max="10" width="12.28515625" bestFit="1" customWidth="1"/>
  </cols>
  <sheetData>
    <row r="3" spans="1:12" ht="18.75">
      <c r="A3" s="127" t="s">
        <v>25</v>
      </c>
      <c r="B3" s="127"/>
      <c r="C3" s="127"/>
      <c r="D3" s="127"/>
      <c r="E3" s="127"/>
    </row>
    <row r="4" spans="1:12" ht="15.75">
      <c r="A4" s="134" t="s">
        <v>26</v>
      </c>
      <c r="B4" s="134"/>
      <c r="C4" s="134"/>
      <c r="D4" s="134"/>
      <c r="E4" s="134"/>
    </row>
    <row r="5" spans="1:12">
      <c r="A5" s="135" t="s">
        <v>109</v>
      </c>
      <c r="B5" s="135"/>
      <c r="C5" s="135"/>
      <c r="D5" s="135"/>
      <c r="E5" s="135"/>
    </row>
    <row r="6" spans="1:12" ht="15.75" thickBot="1">
      <c r="A6" s="136" t="s">
        <v>385</v>
      </c>
      <c r="B6" s="136"/>
      <c r="C6" s="136"/>
      <c r="D6" s="136"/>
      <c r="E6" s="136"/>
    </row>
    <row r="7" spans="1:12" ht="45">
      <c r="A7" s="29" t="s">
        <v>110</v>
      </c>
      <c r="B7" s="30" t="s">
        <v>27</v>
      </c>
      <c r="C7" s="30" t="s">
        <v>111</v>
      </c>
      <c r="D7" s="31" t="s">
        <v>112</v>
      </c>
      <c r="E7" s="31" t="s">
        <v>113</v>
      </c>
    </row>
    <row r="8" spans="1:12">
      <c r="A8" s="47" t="s">
        <v>36</v>
      </c>
      <c r="B8" s="46" t="s">
        <v>38</v>
      </c>
      <c r="C8" s="33" t="s">
        <v>57</v>
      </c>
      <c r="D8" s="32" t="s">
        <v>57</v>
      </c>
      <c r="E8" s="45">
        <v>0</v>
      </c>
    </row>
    <row r="9" spans="1:12">
      <c r="A9" s="137" t="s">
        <v>33</v>
      </c>
      <c r="B9" s="137"/>
      <c r="C9" s="37"/>
      <c r="D9" s="37"/>
      <c r="E9" s="38">
        <f>+E8</f>
        <v>0</v>
      </c>
      <c r="G9" t="s">
        <v>57</v>
      </c>
    </row>
    <row r="10" spans="1:12">
      <c r="A10" s="140"/>
      <c r="B10" s="19" t="s">
        <v>46</v>
      </c>
      <c r="C10" s="33">
        <v>45992</v>
      </c>
      <c r="D10" s="32">
        <v>4524000000096</v>
      </c>
      <c r="E10" s="34">
        <v>5538708.9000000004</v>
      </c>
      <c r="L10" s="35"/>
    </row>
    <row r="11" spans="1:12">
      <c r="A11" s="140"/>
      <c r="B11" s="19" t="s">
        <v>46</v>
      </c>
      <c r="C11" s="33">
        <v>46010</v>
      </c>
      <c r="D11" s="32">
        <v>4524000000100</v>
      </c>
      <c r="E11" s="34">
        <v>4758732.26</v>
      </c>
      <c r="L11" s="35"/>
    </row>
    <row r="12" spans="1:12">
      <c r="A12" s="140"/>
      <c r="B12" s="19" t="s">
        <v>47</v>
      </c>
      <c r="C12" s="33">
        <v>45992</v>
      </c>
      <c r="D12" s="32">
        <v>4524000000010</v>
      </c>
      <c r="E12" s="34">
        <v>447215.8</v>
      </c>
      <c r="L12" s="35"/>
    </row>
    <row r="13" spans="1:12">
      <c r="A13" s="140"/>
      <c r="B13" s="19" t="s">
        <v>47</v>
      </c>
      <c r="C13" s="33">
        <v>45704</v>
      </c>
      <c r="D13" s="32">
        <v>4524000000011</v>
      </c>
      <c r="E13" s="34">
        <v>744285.26</v>
      </c>
      <c r="L13" s="35"/>
    </row>
    <row r="14" spans="1:12">
      <c r="A14" s="140"/>
      <c r="B14" s="19" t="s">
        <v>40</v>
      </c>
      <c r="C14" s="33">
        <v>45992</v>
      </c>
      <c r="D14" s="32">
        <v>4524000000077</v>
      </c>
      <c r="E14" s="34">
        <v>15000</v>
      </c>
    </row>
    <row r="15" spans="1:12">
      <c r="A15" s="140"/>
      <c r="B15" s="36" t="s">
        <v>28</v>
      </c>
      <c r="C15" s="19"/>
      <c r="D15" s="19"/>
      <c r="E15" s="19"/>
    </row>
    <row r="16" spans="1:12">
      <c r="A16" s="140"/>
      <c r="B16" s="36" t="s">
        <v>29</v>
      </c>
      <c r="C16" s="19"/>
      <c r="D16" s="19" t="s">
        <v>57</v>
      </c>
      <c r="E16" s="19"/>
    </row>
    <row r="17" spans="1:7">
      <c r="A17" s="140"/>
      <c r="B17" s="36" t="s">
        <v>30</v>
      </c>
      <c r="C17" s="19"/>
      <c r="D17" s="19"/>
      <c r="E17" s="19"/>
    </row>
    <row r="18" spans="1:7">
      <c r="A18" s="140"/>
      <c r="B18" s="36" t="s">
        <v>31</v>
      </c>
      <c r="C18" s="19"/>
      <c r="D18" s="19"/>
      <c r="E18" s="19"/>
    </row>
    <row r="19" spans="1:7">
      <c r="A19" s="140"/>
      <c r="B19" s="36" t="s">
        <v>32</v>
      </c>
      <c r="C19" s="19"/>
      <c r="D19" s="19"/>
      <c r="E19" s="19"/>
    </row>
    <row r="20" spans="1:7">
      <c r="A20" s="140"/>
      <c r="B20" s="36" t="s">
        <v>37</v>
      </c>
      <c r="C20" s="19"/>
      <c r="D20" s="19"/>
      <c r="E20" s="19"/>
    </row>
    <row r="21" spans="1:7">
      <c r="A21" s="137" t="s">
        <v>33</v>
      </c>
      <c r="B21" s="137"/>
      <c r="C21" s="37"/>
      <c r="D21" s="37"/>
      <c r="E21" s="38">
        <f>SUM(E10:E20)</f>
        <v>11503942.220000001</v>
      </c>
    </row>
    <row r="22" spans="1:7">
      <c r="A22" s="141" t="s">
        <v>49</v>
      </c>
      <c r="B22" s="19" t="s">
        <v>34</v>
      </c>
      <c r="C22" s="19"/>
      <c r="D22" s="32"/>
      <c r="E22" s="19"/>
    </row>
    <row r="23" spans="1:7" ht="30">
      <c r="A23" s="140"/>
      <c r="B23" s="48" t="s">
        <v>39</v>
      </c>
      <c r="C23" s="33">
        <v>46022</v>
      </c>
      <c r="D23" s="32"/>
      <c r="E23" s="34">
        <v>98700</v>
      </c>
    </row>
    <row r="24" spans="1:7">
      <c r="A24" s="140"/>
      <c r="B24" s="19" t="s">
        <v>41</v>
      </c>
      <c r="C24" s="19"/>
      <c r="D24" s="32"/>
      <c r="E24" s="19"/>
    </row>
    <row r="25" spans="1:7" ht="30">
      <c r="A25" s="140"/>
      <c r="B25" s="48" t="s">
        <v>42</v>
      </c>
      <c r="C25" s="19"/>
      <c r="D25" s="32"/>
      <c r="E25" s="19"/>
    </row>
    <row r="26" spans="1:7">
      <c r="A26" s="140"/>
      <c r="B26" s="78" t="s">
        <v>114</v>
      </c>
      <c r="C26" s="33">
        <v>46022</v>
      </c>
      <c r="D26" s="32"/>
      <c r="E26" s="93">
        <v>79877</v>
      </c>
    </row>
    <row r="27" spans="1:7" ht="15.75">
      <c r="A27" s="142"/>
      <c r="B27" s="40" t="s">
        <v>48</v>
      </c>
      <c r="C27" s="39"/>
      <c r="D27" s="32"/>
      <c r="E27" s="41"/>
      <c r="F27" s="50"/>
    </row>
    <row r="28" spans="1:7">
      <c r="A28" s="138" t="s">
        <v>33</v>
      </c>
      <c r="B28" s="139"/>
      <c r="C28" s="37"/>
      <c r="D28" s="37"/>
      <c r="E28" s="38">
        <f>SUM(E22:E27)</f>
        <v>178577</v>
      </c>
    </row>
    <row r="29" spans="1:7">
      <c r="A29" s="143" t="s">
        <v>35</v>
      </c>
      <c r="B29" s="144"/>
      <c r="C29" s="42"/>
      <c r="D29" s="42"/>
      <c r="E29" s="43">
        <f>+E9+E21+E28</f>
        <v>11682519.220000001</v>
      </c>
    </row>
    <row r="30" spans="1:7" ht="15" customHeight="1">
      <c r="A30" s="79"/>
      <c r="B30" s="79"/>
      <c r="C30" s="80"/>
      <c r="D30" s="80"/>
      <c r="E30" s="81"/>
    </row>
    <row r="31" spans="1:7" ht="15" customHeight="1">
      <c r="A31" s="145" t="s">
        <v>380</v>
      </c>
      <c r="B31" s="145"/>
      <c r="C31" s="145"/>
      <c r="D31" s="145"/>
      <c r="E31" s="145"/>
    </row>
    <row r="32" spans="1:7">
      <c r="A32" s="145"/>
      <c r="B32" s="145"/>
      <c r="C32" s="145"/>
      <c r="D32" s="145"/>
      <c r="E32" s="145"/>
      <c r="G32" s="35"/>
    </row>
    <row r="33" spans="1:6">
      <c r="A33" s="92"/>
      <c r="B33" s="92"/>
      <c r="C33" s="92"/>
      <c r="D33" s="92"/>
      <c r="E33" s="92"/>
    </row>
    <row r="34" spans="1:6">
      <c r="A34" s="146" t="s">
        <v>381</v>
      </c>
      <c r="B34" s="146"/>
      <c r="C34" s="146"/>
      <c r="D34" s="146"/>
      <c r="E34" s="146"/>
    </row>
    <row r="35" spans="1:6">
      <c r="A35" s="44"/>
      <c r="B35" s="44"/>
      <c r="C35" s="44"/>
      <c r="D35" s="44"/>
      <c r="E35" s="44"/>
    </row>
    <row r="36" spans="1:6">
      <c r="A36" s="82" t="s">
        <v>115</v>
      </c>
      <c r="B36" s="82" t="s">
        <v>116</v>
      </c>
      <c r="C36" s="82" t="s">
        <v>117</v>
      </c>
      <c r="D36" s="83" t="s">
        <v>118</v>
      </c>
      <c r="E36" s="84"/>
    </row>
    <row r="37" spans="1:6" ht="15.75" thickBot="1">
      <c r="A37" s="85" t="s">
        <v>119</v>
      </c>
      <c r="B37" s="94">
        <v>10364561.899560008</v>
      </c>
      <c r="C37" s="86">
        <v>10355456.59</v>
      </c>
      <c r="D37" s="86">
        <v>10355456.59</v>
      </c>
      <c r="E37" s="87"/>
    </row>
    <row r="38" spans="1:6" ht="15.75" thickTop="1">
      <c r="A38" s="85" t="s">
        <v>120</v>
      </c>
      <c r="B38" s="88">
        <v>2406.2199999999998</v>
      </c>
      <c r="C38" s="88">
        <v>2081.2199999999998</v>
      </c>
      <c r="D38" s="88">
        <v>2081.2199999999998</v>
      </c>
      <c r="E38" s="90"/>
      <c r="F38" t="s">
        <v>57</v>
      </c>
    </row>
    <row r="39" spans="1:6">
      <c r="A39" s="89"/>
      <c r="B39" s="89"/>
      <c r="C39" s="89"/>
      <c r="D39" s="89"/>
      <c r="E39" s="90"/>
    </row>
    <row r="40" spans="1:6">
      <c r="A40" s="131"/>
      <c r="B40" s="131"/>
      <c r="D40" s="131"/>
      <c r="E40" s="131"/>
    </row>
    <row r="41" spans="1:6">
      <c r="A41" s="25"/>
      <c r="B41" s="25"/>
    </row>
    <row r="42" spans="1:6">
      <c r="A42" s="131"/>
      <c r="B42" s="131"/>
      <c r="C42" s="131"/>
      <c r="D42" s="131"/>
      <c r="E42" s="131"/>
    </row>
    <row r="43" spans="1:6">
      <c r="A43" s="90"/>
      <c r="B43" s="131"/>
      <c r="C43" s="131"/>
      <c r="D43" s="131"/>
      <c r="E43" s="131"/>
    </row>
    <row r="44" spans="1:6">
      <c r="A44" s="90"/>
      <c r="B44" s="90"/>
      <c r="D44" s="90"/>
      <c r="E44" s="90"/>
    </row>
    <row r="45" spans="1:6">
      <c r="A45" s="131"/>
      <c r="B45" s="131"/>
      <c r="D45" s="131"/>
      <c r="E45" s="131"/>
    </row>
    <row r="46" spans="1:6">
      <c r="A46" s="131" t="s">
        <v>43</v>
      </c>
      <c r="B46" s="131"/>
      <c r="D46" s="131" t="s">
        <v>44</v>
      </c>
      <c r="E46" s="131"/>
    </row>
    <row r="48" spans="1:6">
      <c r="A48" s="91"/>
      <c r="B48" s="91"/>
      <c r="D48" s="91"/>
      <c r="E48" s="91"/>
    </row>
    <row r="49" spans="1:5">
      <c r="A49" s="132"/>
      <c r="B49" s="132"/>
      <c r="D49" s="132"/>
      <c r="E49" s="132"/>
    </row>
    <row r="50" spans="1:5">
      <c r="A50" s="133"/>
      <c r="B50" s="133"/>
      <c r="D50" s="133"/>
      <c r="E50" s="133"/>
    </row>
    <row r="51" spans="1:5">
      <c r="A51" s="25"/>
      <c r="B51" s="25"/>
    </row>
    <row r="52" spans="1:5">
      <c r="A52" s="131" t="s">
        <v>45</v>
      </c>
      <c r="B52" s="131"/>
      <c r="C52" s="131"/>
      <c r="D52" s="131"/>
      <c r="E52" s="131"/>
    </row>
    <row r="53" spans="1:5">
      <c r="A53" s="90"/>
      <c r="B53" s="90" t="s">
        <v>14</v>
      </c>
      <c r="C53" s="90"/>
      <c r="D53" s="90"/>
      <c r="E53" s="90"/>
    </row>
    <row r="55" spans="1:5">
      <c r="A55" s="147"/>
      <c r="B55" s="147"/>
      <c r="C55" s="147"/>
      <c r="D55" s="147"/>
      <c r="E55" s="147"/>
    </row>
    <row r="56" spans="1:5">
      <c r="A56" s="131"/>
      <c r="B56" s="131"/>
      <c r="C56" s="131"/>
      <c r="D56" s="131"/>
      <c r="E56" s="131"/>
    </row>
  </sheetData>
  <mergeCells count="27">
    <mergeCell ref="A56:E56"/>
    <mergeCell ref="A31:E32"/>
    <mergeCell ref="A34:E34"/>
    <mergeCell ref="A40:B40"/>
    <mergeCell ref="D40:E40"/>
    <mergeCell ref="A42:E42"/>
    <mergeCell ref="A55:E55"/>
    <mergeCell ref="A45:B45"/>
    <mergeCell ref="D45:E45"/>
    <mergeCell ref="A49:B49"/>
    <mergeCell ref="D49:E49"/>
    <mergeCell ref="A46:B46"/>
    <mergeCell ref="D46:E46"/>
    <mergeCell ref="A50:B50"/>
    <mergeCell ref="D50:E50"/>
    <mergeCell ref="A52:E52"/>
    <mergeCell ref="B43:E43"/>
    <mergeCell ref="A3:E3"/>
    <mergeCell ref="A4:E4"/>
    <mergeCell ref="A5:E5"/>
    <mergeCell ref="A6:E6"/>
    <mergeCell ref="A9:B9"/>
    <mergeCell ref="A28:B28"/>
    <mergeCell ref="A10:A20"/>
    <mergeCell ref="A21:B21"/>
    <mergeCell ref="A22:A27"/>
    <mergeCell ref="A29:B29"/>
  </mergeCells>
  <pageMargins left="0.25" right="0.25" top="0.75" bottom="0.75" header="0.3" footer="0.3"/>
  <pageSetup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28"/>
  <sheetViews>
    <sheetView showGridLines="0" topLeftCell="D1" zoomScaleNormal="100" workbookViewId="0">
      <selection activeCell="D19" sqref="A11:D19"/>
    </sheetView>
  </sheetViews>
  <sheetFormatPr baseColWidth="10" defaultRowHeight="12.75"/>
  <cols>
    <col min="1" max="1" width="7.28515625" style="52" customWidth="1"/>
    <col min="2" max="2" width="18.5703125" style="52" customWidth="1"/>
    <col min="3" max="3" width="34.7109375" style="52" bestFit="1" customWidth="1"/>
    <col min="4" max="4" width="23.42578125" style="52" bestFit="1" customWidth="1"/>
    <col min="5" max="5" width="17.28515625" style="52" bestFit="1" customWidth="1"/>
    <col min="6" max="6" width="27.85546875" style="52" customWidth="1"/>
    <col min="7" max="7" width="17.42578125" style="52" customWidth="1"/>
    <col min="8" max="8" width="17.85546875" style="52" customWidth="1"/>
    <col min="9" max="9" width="15.28515625" style="52" customWidth="1"/>
    <col min="10" max="10" width="19.5703125" style="52" customWidth="1"/>
    <col min="11" max="11" width="18.28515625" style="52" bestFit="1" customWidth="1"/>
    <col min="12" max="12" width="10.140625" style="52" bestFit="1" customWidth="1"/>
    <col min="13" max="13" width="9.28515625" style="52" customWidth="1"/>
    <col min="14" max="14" width="27.140625" style="52" bestFit="1" customWidth="1"/>
    <col min="15" max="15" width="10.140625" style="52" bestFit="1" customWidth="1"/>
    <col min="16" max="16" width="10" style="52" customWidth="1"/>
    <col min="17" max="17" width="36.7109375" style="52" bestFit="1" customWidth="1"/>
    <col min="18" max="18" width="12.85546875" style="52" bestFit="1" customWidth="1"/>
    <col min="19" max="19" width="20.42578125" style="52" bestFit="1" customWidth="1"/>
    <col min="20" max="20" width="16.28515625" style="52" bestFit="1" customWidth="1"/>
    <col min="21" max="21" width="17.5703125" style="52" bestFit="1" customWidth="1"/>
    <col min="22" max="22" width="13.7109375" style="52" bestFit="1" customWidth="1"/>
    <col min="23" max="256" width="11.42578125" style="52"/>
    <col min="257" max="257" width="7.28515625" style="52" customWidth="1"/>
    <col min="258" max="259" width="11.28515625" style="52" bestFit="1" customWidth="1"/>
    <col min="260" max="260" width="9.7109375" style="52" customWidth="1"/>
    <col min="261" max="261" width="17.28515625" style="52" bestFit="1" customWidth="1"/>
    <col min="262" max="262" width="11" style="52" bestFit="1" customWidth="1"/>
    <col min="263" max="263" width="11.42578125" style="52"/>
    <col min="264" max="264" width="13.42578125" style="52" customWidth="1"/>
    <col min="265" max="265" width="15.28515625" style="52" customWidth="1"/>
    <col min="266" max="266" width="19.5703125" style="52" customWidth="1"/>
    <col min="267" max="267" width="18.28515625" style="52" bestFit="1" customWidth="1"/>
    <col min="268" max="268" width="10.85546875" style="52" bestFit="1" customWidth="1"/>
    <col min="269" max="269" width="10.7109375" style="52" bestFit="1" customWidth="1"/>
    <col min="270" max="270" width="13.85546875" style="52" customWidth="1"/>
    <col min="271" max="271" width="10.85546875" style="52" bestFit="1" customWidth="1"/>
    <col min="272" max="272" width="10.7109375" style="52" bestFit="1" customWidth="1"/>
    <col min="273" max="273" width="18" style="52" customWidth="1"/>
    <col min="274" max="274" width="13.140625" style="52" customWidth="1"/>
    <col min="275" max="275" width="16" style="52" customWidth="1"/>
    <col min="276" max="276" width="14.85546875" style="52" customWidth="1"/>
    <col min="277" max="277" width="15.28515625" style="52" customWidth="1"/>
    <col min="278" max="278" width="19.28515625" style="52" bestFit="1" customWidth="1"/>
    <col min="279" max="512" width="11.42578125" style="52"/>
    <col min="513" max="513" width="7.28515625" style="52" customWidth="1"/>
    <col min="514" max="515" width="11.28515625" style="52" bestFit="1" customWidth="1"/>
    <col min="516" max="516" width="9.7109375" style="52" customWidth="1"/>
    <col min="517" max="517" width="17.28515625" style="52" bestFit="1" customWidth="1"/>
    <col min="518" max="518" width="11" style="52" bestFit="1" customWidth="1"/>
    <col min="519" max="519" width="11.42578125" style="52"/>
    <col min="520" max="520" width="13.42578125" style="52" customWidth="1"/>
    <col min="521" max="521" width="15.28515625" style="52" customWidth="1"/>
    <col min="522" max="522" width="19.5703125" style="52" customWidth="1"/>
    <col min="523" max="523" width="18.28515625" style="52" bestFit="1" customWidth="1"/>
    <col min="524" max="524" width="10.85546875" style="52" bestFit="1" customWidth="1"/>
    <col min="525" max="525" width="10.7109375" style="52" bestFit="1" customWidth="1"/>
    <col min="526" max="526" width="13.85546875" style="52" customWidth="1"/>
    <col min="527" max="527" width="10.85546875" style="52" bestFit="1" customWidth="1"/>
    <col min="528" max="528" width="10.7109375" style="52" bestFit="1" customWidth="1"/>
    <col min="529" max="529" width="18" style="52" customWidth="1"/>
    <col min="530" max="530" width="13.140625" style="52" customWidth="1"/>
    <col min="531" max="531" width="16" style="52" customWidth="1"/>
    <col min="532" max="532" width="14.85546875" style="52" customWidth="1"/>
    <col min="533" max="533" width="15.28515625" style="52" customWidth="1"/>
    <col min="534" max="534" width="19.28515625" style="52" bestFit="1" customWidth="1"/>
    <col min="535" max="768" width="11.42578125" style="52"/>
    <col min="769" max="769" width="7.28515625" style="52" customWidth="1"/>
    <col min="770" max="771" width="11.28515625" style="52" bestFit="1" customWidth="1"/>
    <col min="772" max="772" width="9.7109375" style="52" customWidth="1"/>
    <col min="773" max="773" width="17.28515625" style="52" bestFit="1" customWidth="1"/>
    <col min="774" max="774" width="11" style="52" bestFit="1" customWidth="1"/>
    <col min="775" max="775" width="11.42578125" style="52"/>
    <col min="776" max="776" width="13.42578125" style="52" customWidth="1"/>
    <col min="777" max="777" width="15.28515625" style="52" customWidth="1"/>
    <col min="778" max="778" width="19.5703125" style="52" customWidth="1"/>
    <col min="779" max="779" width="18.28515625" style="52" bestFit="1" customWidth="1"/>
    <col min="780" max="780" width="10.85546875" style="52" bestFit="1" customWidth="1"/>
    <col min="781" max="781" width="10.7109375" style="52" bestFit="1" customWidth="1"/>
    <col min="782" max="782" width="13.85546875" style="52" customWidth="1"/>
    <col min="783" max="783" width="10.85546875" style="52" bestFit="1" customWidth="1"/>
    <col min="784" max="784" width="10.7109375" style="52" bestFit="1" customWidth="1"/>
    <col min="785" max="785" width="18" style="52" customWidth="1"/>
    <col min="786" max="786" width="13.140625" style="52" customWidth="1"/>
    <col min="787" max="787" width="16" style="52" customWidth="1"/>
    <col min="788" max="788" width="14.85546875" style="52" customWidth="1"/>
    <col min="789" max="789" width="15.28515625" style="52" customWidth="1"/>
    <col min="790" max="790" width="19.28515625" style="52" bestFit="1" customWidth="1"/>
    <col min="791" max="1024" width="11.42578125" style="52"/>
    <col min="1025" max="1025" width="7.28515625" style="52" customWidth="1"/>
    <col min="1026" max="1027" width="11.28515625" style="52" bestFit="1" customWidth="1"/>
    <col min="1028" max="1028" width="9.7109375" style="52" customWidth="1"/>
    <col min="1029" max="1029" width="17.28515625" style="52" bestFit="1" customWidth="1"/>
    <col min="1030" max="1030" width="11" style="52" bestFit="1" customWidth="1"/>
    <col min="1031" max="1031" width="11.42578125" style="52"/>
    <col min="1032" max="1032" width="13.42578125" style="52" customWidth="1"/>
    <col min="1033" max="1033" width="15.28515625" style="52" customWidth="1"/>
    <col min="1034" max="1034" width="19.5703125" style="52" customWidth="1"/>
    <col min="1035" max="1035" width="18.28515625" style="52" bestFit="1" customWidth="1"/>
    <col min="1036" max="1036" width="10.85546875" style="52" bestFit="1" customWidth="1"/>
    <col min="1037" max="1037" width="10.7109375" style="52" bestFit="1" customWidth="1"/>
    <col min="1038" max="1038" width="13.85546875" style="52" customWidth="1"/>
    <col min="1039" max="1039" width="10.85546875" style="52" bestFit="1" customWidth="1"/>
    <col min="1040" max="1040" width="10.7109375" style="52" bestFit="1" customWidth="1"/>
    <col min="1041" max="1041" width="18" style="52" customWidth="1"/>
    <col min="1042" max="1042" width="13.140625" style="52" customWidth="1"/>
    <col min="1043" max="1043" width="16" style="52" customWidth="1"/>
    <col min="1044" max="1044" width="14.85546875" style="52" customWidth="1"/>
    <col min="1045" max="1045" width="15.28515625" style="52" customWidth="1"/>
    <col min="1046" max="1046" width="19.28515625" style="52" bestFit="1" customWidth="1"/>
    <col min="1047" max="1280" width="11.42578125" style="52"/>
    <col min="1281" max="1281" width="7.28515625" style="52" customWidth="1"/>
    <col min="1282" max="1283" width="11.28515625" style="52" bestFit="1" customWidth="1"/>
    <col min="1284" max="1284" width="9.7109375" style="52" customWidth="1"/>
    <col min="1285" max="1285" width="17.28515625" style="52" bestFit="1" customWidth="1"/>
    <col min="1286" max="1286" width="11" style="52" bestFit="1" customWidth="1"/>
    <col min="1287" max="1287" width="11.42578125" style="52"/>
    <col min="1288" max="1288" width="13.42578125" style="52" customWidth="1"/>
    <col min="1289" max="1289" width="15.28515625" style="52" customWidth="1"/>
    <col min="1290" max="1290" width="19.5703125" style="52" customWidth="1"/>
    <col min="1291" max="1291" width="18.28515625" style="52" bestFit="1" customWidth="1"/>
    <col min="1292" max="1292" width="10.85546875" style="52" bestFit="1" customWidth="1"/>
    <col min="1293" max="1293" width="10.7109375" style="52" bestFit="1" customWidth="1"/>
    <col min="1294" max="1294" width="13.85546875" style="52" customWidth="1"/>
    <col min="1295" max="1295" width="10.85546875" style="52" bestFit="1" customWidth="1"/>
    <col min="1296" max="1296" width="10.7109375" style="52" bestFit="1" customWidth="1"/>
    <col min="1297" max="1297" width="18" style="52" customWidth="1"/>
    <col min="1298" max="1298" width="13.140625" style="52" customWidth="1"/>
    <col min="1299" max="1299" width="16" style="52" customWidth="1"/>
    <col min="1300" max="1300" width="14.85546875" style="52" customWidth="1"/>
    <col min="1301" max="1301" width="15.28515625" style="52" customWidth="1"/>
    <col min="1302" max="1302" width="19.28515625" style="52" bestFit="1" customWidth="1"/>
    <col min="1303" max="1536" width="11.42578125" style="52"/>
    <col min="1537" max="1537" width="7.28515625" style="52" customWidth="1"/>
    <col min="1538" max="1539" width="11.28515625" style="52" bestFit="1" customWidth="1"/>
    <col min="1540" max="1540" width="9.7109375" style="52" customWidth="1"/>
    <col min="1541" max="1541" width="17.28515625" style="52" bestFit="1" customWidth="1"/>
    <col min="1542" max="1542" width="11" style="52" bestFit="1" customWidth="1"/>
    <col min="1543" max="1543" width="11.42578125" style="52"/>
    <col min="1544" max="1544" width="13.42578125" style="52" customWidth="1"/>
    <col min="1545" max="1545" width="15.28515625" style="52" customWidth="1"/>
    <col min="1546" max="1546" width="19.5703125" style="52" customWidth="1"/>
    <col min="1547" max="1547" width="18.28515625" style="52" bestFit="1" customWidth="1"/>
    <col min="1548" max="1548" width="10.85546875" style="52" bestFit="1" customWidth="1"/>
    <col min="1549" max="1549" width="10.7109375" style="52" bestFit="1" customWidth="1"/>
    <col min="1550" max="1550" width="13.85546875" style="52" customWidth="1"/>
    <col min="1551" max="1551" width="10.85546875" style="52" bestFit="1" customWidth="1"/>
    <col min="1552" max="1552" width="10.7109375" style="52" bestFit="1" customWidth="1"/>
    <col min="1553" max="1553" width="18" style="52" customWidth="1"/>
    <col min="1554" max="1554" width="13.140625" style="52" customWidth="1"/>
    <col min="1555" max="1555" width="16" style="52" customWidth="1"/>
    <col min="1556" max="1556" width="14.85546875" style="52" customWidth="1"/>
    <col min="1557" max="1557" width="15.28515625" style="52" customWidth="1"/>
    <col min="1558" max="1558" width="19.28515625" style="52" bestFit="1" customWidth="1"/>
    <col min="1559" max="1792" width="11.42578125" style="52"/>
    <col min="1793" max="1793" width="7.28515625" style="52" customWidth="1"/>
    <col min="1794" max="1795" width="11.28515625" style="52" bestFit="1" customWidth="1"/>
    <col min="1796" max="1796" width="9.7109375" style="52" customWidth="1"/>
    <col min="1797" max="1797" width="17.28515625" style="52" bestFit="1" customWidth="1"/>
    <col min="1798" max="1798" width="11" style="52" bestFit="1" customWidth="1"/>
    <col min="1799" max="1799" width="11.42578125" style="52"/>
    <col min="1800" max="1800" width="13.42578125" style="52" customWidth="1"/>
    <col min="1801" max="1801" width="15.28515625" style="52" customWidth="1"/>
    <col min="1802" max="1802" width="19.5703125" style="52" customWidth="1"/>
    <col min="1803" max="1803" width="18.28515625" style="52" bestFit="1" customWidth="1"/>
    <col min="1804" max="1804" width="10.85546875" style="52" bestFit="1" customWidth="1"/>
    <col min="1805" max="1805" width="10.7109375" style="52" bestFit="1" customWidth="1"/>
    <col min="1806" max="1806" width="13.85546875" style="52" customWidth="1"/>
    <col min="1807" max="1807" width="10.85546875" style="52" bestFit="1" customWidth="1"/>
    <col min="1808" max="1808" width="10.7109375" style="52" bestFit="1" customWidth="1"/>
    <col min="1809" max="1809" width="18" style="52" customWidth="1"/>
    <col min="1810" max="1810" width="13.140625" style="52" customWidth="1"/>
    <col min="1811" max="1811" width="16" style="52" customWidth="1"/>
    <col min="1812" max="1812" width="14.85546875" style="52" customWidth="1"/>
    <col min="1813" max="1813" width="15.28515625" style="52" customWidth="1"/>
    <col min="1814" max="1814" width="19.28515625" style="52" bestFit="1" customWidth="1"/>
    <col min="1815" max="2048" width="11.42578125" style="52"/>
    <col min="2049" max="2049" width="7.28515625" style="52" customWidth="1"/>
    <col min="2050" max="2051" width="11.28515625" style="52" bestFit="1" customWidth="1"/>
    <col min="2052" max="2052" width="9.7109375" style="52" customWidth="1"/>
    <col min="2053" max="2053" width="17.28515625" style="52" bestFit="1" customWidth="1"/>
    <col min="2054" max="2054" width="11" style="52" bestFit="1" customWidth="1"/>
    <col min="2055" max="2055" width="11.42578125" style="52"/>
    <col min="2056" max="2056" width="13.42578125" style="52" customWidth="1"/>
    <col min="2057" max="2057" width="15.28515625" style="52" customWidth="1"/>
    <col min="2058" max="2058" width="19.5703125" style="52" customWidth="1"/>
    <col min="2059" max="2059" width="18.28515625" style="52" bestFit="1" customWidth="1"/>
    <col min="2060" max="2060" width="10.85546875" style="52" bestFit="1" customWidth="1"/>
    <col min="2061" max="2061" width="10.7109375" style="52" bestFit="1" customWidth="1"/>
    <col min="2062" max="2062" width="13.85546875" style="52" customWidth="1"/>
    <col min="2063" max="2063" width="10.85546875" style="52" bestFit="1" customWidth="1"/>
    <col min="2064" max="2064" width="10.7109375" style="52" bestFit="1" customWidth="1"/>
    <col min="2065" max="2065" width="18" style="52" customWidth="1"/>
    <col min="2066" max="2066" width="13.140625" style="52" customWidth="1"/>
    <col min="2067" max="2067" width="16" style="52" customWidth="1"/>
    <col min="2068" max="2068" width="14.85546875" style="52" customWidth="1"/>
    <col min="2069" max="2069" width="15.28515625" style="52" customWidth="1"/>
    <col min="2070" max="2070" width="19.28515625" style="52" bestFit="1" customWidth="1"/>
    <col min="2071" max="2304" width="11.42578125" style="52"/>
    <col min="2305" max="2305" width="7.28515625" style="52" customWidth="1"/>
    <col min="2306" max="2307" width="11.28515625" style="52" bestFit="1" customWidth="1"/>
    <col min="2308" max="2308" width="9.7109375" style="52" customWidth="1"/>
    <col min="2309" max="2309" width="17.28515625" style="52" bestFit="1" customWidth="1"/>
    <col min="2310" max="2310" width="11" style="52" bestFit="1" customWidth="1"/>
    <col min="2311" max="2311" width="11.42578125" style="52"/>
    <col min="2312" max="2312" width="13.42578125" style="52" customWidth="1"/>
    <col min="2313" max="2313" width="15.28515625" style="52" customWidth="1"/>
    <col min="2314" max="2314" width="19.5703125" style="52" customWidth="1"/>
    <col min="2315" max="2315" width="18.28515625" style="52" bestFit="1" customWidth="1"/>
    <col min="2316" max="2316" width="10.85546875" style="52" bestFit="1" customWidth="1"/>
    <col min="2317" max="2317" width="10.7109375" style="52" bestFit="1" customWidth="1"/>
    <col min="2318" max="2318" width="13.85546875" style="52" customWidth="1"/>
    <col min="2319" max="2319" width="10.85546875" style="52" bestFit="1" customWidth="1"/>
    <col min="2320" max="2320" width="10.7109375" style="52" bestFit="1" customWidth="1"/>
    <col min="2321" max="2321" width="18" style="52" customWidth="1"/>
    <col min="2322" max="2322" width="13.140625" style="52" customWidth="1"/>
    <col min="2323" max="2323" width="16" style="52" customWidth="1"/>
    <col min="2324" max="2324" width="14.85546875" style="52" customWidth="1"/>
    <col min="2325" max="2325" width="15.28515625" style="52" customWidth="1"/>
    <col min="2326" max="2326" width="19.28515625" style="52" bestFit="1" customWidth="1"/>
    <col min="2327" max="2560" width="11.42578125" style="52"/>
    <col min="2561" max="2561" width="7.28515625" style="52" customWidth="1"/>
    <col min="2562" max="2563" width="11.28515625" style="52" bestFit="1" customWidth="1"/>
    <col min="2564" max="2564" width="9.7109375" style="52" customWidth="1"/>
    <col min="2565" max="2565" width="17.28515625" style="52" bestFit="1" customWidth="1"/>
    <col min="2566" max="2566" width="11" style="52" bestFit="1" customWidth="1"/>
    <col min="2567" max="2567" width="11.42578125" style="52"/>
    <col min="2568" max="2568" width="13.42578125" style="52" customWidth="1"/>
    <col min="2569" max="2569" width="15.28515625" style="52" customWidth="1"/>
    <col min="2570" max="2570" width="19.5703125" style="52" customWidth="1"/>
    <col min="2571" max="2571" width="18.28515625" style="52" bestFit="1" customWidth="1"/>
    <col min="2572" max="2572" width="10.85546875" style="52" bestFit="1" customWidth="1"/>
    <col min="2573" max="2573" width="10.7109375" style="52" bestFit="1" customWidth="1"/>
    <col min="2574" max="2574" width="13.85546875" style="52" customWidth="1"/>
    <col min="2575" max="2575" width="10.85546875" style="52" bestFit="1" customWidth="1"/>
    <col min="2576" max="2576" width="10.7109375" style="52" bestFit="1" customWidth="1"/>
    <col min="2577" max="2577" width="18" style="52" customWidth="1"/>
    <col min="2578" max="2578" width="13.140625" style="52" customWidth="1"/>
    <col min="2579" max="2579" width="16" style="52" customWidth="1"/>
    <col min="2580" max="2580" width="14.85546875" style="52" customWidth="1"/>
    <col min="2581" max="2581" width="15.28515625" style="52" customWidth="1"/>
    <col min="2582" max="2582" width="19.28515625" style="52" bestFit="1" customWidth="1"/>
    <col min="2583" max="2816" width="11.42578125" style="52"/>
    <col min="2817" max="2817" width="7.28515625" style="52" customWidth="1"/>
    <col min="2818" max="2819" width="11.28515625" style="52" bestFit="1" customWidth="1"/>
    <col min="2820" max="2820" width="9.7109375" style="52" customWidth="1"/>
    <col min="2821" max="2821" width="17.28515625" style="52" bestFit="1" customWidth="1"/>
    <col min="2822" max="2822" width="11" style="52" bestFit="1" customWidth="1"/>
    <col min="2823" max="2823" width="11.42578125" style="52"/>
    <col min="2824" max="2824" width="13.42578125" style="52" customWidth="1"/>
    <col min="2825" max="2825" width="15.28515625" style="52" customWidth="1"/>
    <col min="2826" max="2826" width="19.5703125" style="52" customWidth="1"/>
    <col min="2827" max="2827" width="18.28515625" style="52" bestFit="1" customWidth="1"/>
    <col min="2828" max="2828" width="10.85546875" style="52" bestFit="1" customWidth="1"/>
    <col min="2829" max="2829" width="10.7109375" style="52" bestFit="1" customWidth="1"/>
    <col min="2830" max="2830" width="13.85546875" style="52" customWidth="1"/>
    <col min="2831" max="2831" width="10.85546875" style="52" bestFit="1" customWidth="1"/>
    <col min="2832" max="2832" width="10.7109375" style="52" bestFit="1" customWidth="1"/>
    <col min="2833" max="2833" width="18" style="52" customWidth="1"/>
    <col min="2834" max="2834" width="13.140625" style="52" customWidth="1"/>
    <col min="2835" max="2835" width="16" style="52" customWidth="1"/>
    <col min="2836" max="2836" width="14.85546875" style="52" customWidth="1"/>
    <col min="2837" max="2837" width="15.28515625" style="52" customWidth="1"/>
    <col min="2838" max="2838" width="19.28515625" style="52" bestFit="1" customWidth="1"/>
    <col min="2839" max="3072" width="11.42578125" style="52"/>
    <col min="3073" max="3073" width="7.28515625" style="52" customWidth="1"/>
    <col min="3074" max="3075" width="11.28515625" style="52" bestFit="1" customWidth="1"/>
    <col min="3076" max="3076" width="9.7109375" style="52" customWidth="1"/>
    <col min="3077" max="3077" width="17.28515625" style="52" bestFit="1" customWidth="1"/>
    <col min="3078" max="3078" width="11" style="52" bestFit="1" customWidth="1"/>
    <col min="3079" max="3079" width="11.42578125" style="52"/>
    <col min="3080" max="3080" width="13.42578125" style="52" customWidth="1"/>
    <col min="3081" max="3081" width="15.28515625" style="52" customWidth="1"/>
    <col min="3082" max="3082" width="19.5703125" style="52" customWidth="1"/>
    <col min="3083" max="3083" width="18.28515625" style="52" bestFit="1" customWidth="1"/>
    <col min="3084" max="3084" width="10.85546875" style="52" bestFit="1" customWidth="1"/>
    <col min="3085" max="3085" width="10.7109375" style="52" bestFit="1" customWidth="1"/>
    <col min="3086" max="3086" width="13.85546875" style="52" customWidth="1"/>
    <col min="3087" max="3087" width="10.85546875" style="52" bestFit="1" customWidth="1"/>
    <col min="3088" max="3088" width="10.7109375" style="52" bestFit="1" customWidth="1"/>
    <col min="3089" max="3089" width="18" style="52" customWidth="1"/>
    <col min="3090" max="3090" width="13.140625" style="52" customWidth="1"/>
    <col min="3091" max="3091" width="16" style="52" customWidth="1"/>
    <col min="3092" max="3092" width="14.85546875" style="52" customWidth="1"/>
    <col min="3093" max="3093" width="15.28515625" style="52" customWidth="1"/>
    <col min="3094" max="3094" width="19.28515625" style="52" bestFit="1" customWidth="1"/>
    <col min="3095" max="3328" width="11.42578125" style="52"/>
    <col min="3329" max="3329" width="7.28515625" style="52" customWidth="1"/>
    <col min="3330" max="3331" width="11.28515625" style="52" bestFit="1" customWidth="1"/>
    <col min="3332" max="3332" width="9.7109375" style="52" customWidth="1"/>
    <col min="3333" max="3333" width="17.28515625" style="52" bestFit="1" customWidth="1"/>
    <col min="3334" max="3334" width="11" style="52" bestFit="1" customWidth="1"/>
    <col min="3335" max="3335" width="11.42578125" style="52"/>
    <col min="3336" max="3336" width="13.42578125" style="52" customWidth="1"/>
    <col min="3337" max="3337" width="15.28515625" style="52" customWidth="1"/>
    <col min="3338" max="3338" width="19.5703125" style="52" customWidth="1"/>
    <col min="3339" max="3339" width="18.28515625" style="52" bestFit="1" customWidth="1"/>
    <col min="3340" max="3340" width="10.85546875" style="52" bestFit="1" customWidth="1"/>
    <col min="3341" max="3341" width="10.7109375" style="52" bestFit="1" customWidth="1"/>
    <col min="3342" max="3342" width="13.85546875" style="52" customWidth="1"/>
    <col min="3343" max="3343" width="10.85546875" style="52" bestFit="1" customWidth="1"/>
    <col min="3344" max="3344" width="10.7109375" style="52" bestFit="1" customWidth="1"/>
    <col min="3345" max="3345" width="18" style="52" customWidth="1"/>
    <col min="3346" max="3346" width="13.140625" style="52" customWidth="1"/>
    <col min="3347" max="3347" width="16" style="52" customWidth="1"/>
    <col min="3348" max="3348" width="14.85546875" style="52" customWidth="1"/>
    <col min="3349" max="3349" width="15.28515625" style="52" customWidth="1"/>
    <col min="3350" max="3350" width="19.28515625" style="52" bestFit="1" customWidth="1"/>
    <col min="3351" max="3584" width="11.42578125" style="52"/>
    <col min="3585" max="3585" width="7.28515625" style="52" customWidth="1"/>
    <col min="3586" max="3587" width="11.28515625" style="52" bestFit="1" customWidth="1"/>
    <col min="3588" max="3588" width="9.7109375" style="52" customWidth="1"/>
    <col min="3589" max="3589" width="17.28515625" style="52" bestFit="1" customWidth="1"/>
    <col min="3590" max="3590" width="11" style="52" bestFit="1" customWidth="1"/>
    <col min="3591" max="3591" width="11.42578125" style="52"/>
    <col min="3592" max="3592" width="13.42578125" style="52" customWidth="1"/>
    <col min="3593" max="3593" width="15.28515625" style="52" customWidth="1"/>
    <col min="3594" max="3594" width="19.5703125" style="52" customWidth="1"/>
    <col min="3595" max="3595" width="18.28515625" style="52" bestFit="1" customWidth="1"/>
    <col min="3596" max="3596" width="10.85546875" style="52" bestFit="1" customWidth="1"/>
    <col min="3597" max="3597" width="10.7109375" style="52" bestFit="1" customWidth="1"/>
    <col min="3598" max="3598" width="13.85546875" style="52" customWidth="1"/>
    <col min="3599" max="3599" width="10.85546875" style="52" bestFit="1" customWidth="1"/>
    <col min="3600" max="3600" width="10.7109375" style="52" bestFit="1" customWidth="1"/>
    <col min="3601" max="3601" width="18" style="52" customWidth="1"/>
    <col min="3602" max="3602" width="13.140625" style="52" customWidth="1"/>
    <col min="3603" max="3603" width="16" style="52" customWidth="1"/>
    <col min="3604" max="3604" width="14.85546875" style="52" customWidth="1"/>
    <col min="3605" max="3605" width="15.28515625" style="52" customWidth="1"/>
    <col min="3606" max="3606" width="19.28515625" style="52" bestFit="1" customWidth="1"/>
    <col min="3607" max="3840" width="11.42578125" style="52"/>
    <col min="3841" max="3841" width="7.28515625" style="52" customWidth="1"/>
    <col min="3842" max="3843" width="11.28515625" style="52" bestFit="1" customWidth="1"/>
    <col min="3844" max="3844" width="9.7109375" style="52" customWidth="1"/>
    <col min="3845" max="3845" width="17.28515625" style="52" bestFit="1" customWidth="1"/>
    <col min="3846" max="3846" width="11" style="52" bestFit="1" customWidth="1"/>
    <col min="3847" max="3847" width="11.42578125" style="52"/>
    <col min="3848" max="3848" width="13.42578125" style="52" customWidth="1"/>
    <col min="3849" max="3849" width="15.28515625" style="52" customWidth="1"/>
    <col min="3850" max="3850" width="19.5703125" style="52" customWidth="1"/>
    <col min="3851" max="3851" width="18.28515625" style="52" bestFit="1" customWidth="1"/>
    <col min="3852" max="3852" width="10.85546875" style="52" bestFit="1" customWidth="1"/>
    <col min="3853" max="3853" width="10.7109375" style="52" bestFit="1" customWidth="1"/>
    <col min="3854" max="3854" width="13.85546875" style="52" customWidth="1"/>
    <col min="3855" max="3855" width="10.85546875" style="52" bestFit="1" customWidth="1"/>
    <col min="3856" max="3856" width="10.7109375" style="52" bestFit="1" customWidth="1"/>
    <col min="3857" max="3857" width="18" style="52" customWidth="1"/>
    <col min="3858" max="3858" width="13.140625" style="52" customWidth="1"/>
    <col min="3859" max="3859" width="16" style="52" customWidth="1"/>
    <col min="3860" max="3860" width="14.85546875" style="52" customWidth="1"/>
    <col min="3861" max="3861" width="15.28515625" style="52" customWidth="1"/>
    <col min="3862" max="3862" width="19.28515625" style="52" bestFit="1" customWidth="1"/>
    <col min="3863" max="4096" width="11.42578125" style="52"/>
    <col min="4097" max="4097" width="7.28515625" style="52" customWidth="1"/>
    <col min="4098" max="4099" width="11.28515625" style="52" bestFit="1" customWidth="1"/>
    <col min="4100" max="4100" width="9.7109375" style="52" customWidth="1"/>
    <col min="4101" max="4101" width="17.28515625" style="52" bestFit="1" customWidth="1"/>
    <col min="4102" max="4102" width="11" style="52" bestFit="1" customWidth="1"/>
    <col min="4103" max="4103" width="11.42578125" style="52"/>
    <col min="4104" max="4104" width="13.42578125" style="52" customWidth="1"/>
    <col min="4105" max="4105" width="15.28515625" style="52" customWidth="1"/>
    <col min="4106" max="4106" width="19.5703125" style="52" customWidth="1"/>
    <col min="4107" max="4107" width="18.28515625" style="52" bestFit="1" customWidth="1"/>
    <col min="4108" max="4108" width="10.85546875" style="52" bestFit="1" customWidth="1"/>
    <col min="4109" max="4109" width="10.7109375" style="52" bestFit="1" customWidth="1"/>
    <col min="4110" max="4110" width="13.85546875" style="52" customWidth="1"/>
    <col min="4111" max="4111" width="10.85546875" style="52" bestFit="1" customWidth="1"/>
    <col min="4112" max="4112" width="10.7109375" style="52" bestFit="1" customWidth="1"/>
    <col min="4113" max="4113" width="18" style="52" customWidth="1"/>
    <col min="4114" max="4114" width="13.140625" style="52" customWidth="1"/>
    <col min="4115" max="4115" width="16" style="52" customWidth="1"/>
    <col min="4116" max="4116" width="14.85546875" style="52" customWidth="1"/>
    <col min="4117" max="4117" width="15.28515625" style="52" customWidth="1"/>
    <col min="4118" max="4118" width="19.28515625" style="52" bestFit="1" customWidth="1"/>
    <col min="4119" max="4352" width="11.42578125" style="52"/>
    <col min="4353" max="4353" width="7.28515625" style="52" customWidth="1"/>
    <col min="4354" max="4355" width="11.28515625" style="52" bestFit="1" customWidth="1"/>
    <col min="4356" max="4356" width="9.7109375" style="52" customWidth="1"/>
    <col min="4357" max="4357" width="17.28515625" style="52" bestFit="1" customWidth="1"/>
    <col min="4358" max="4358" width="11" style="52" bestFit="1" customWidth="1"/>
    <col min="4359" max="4359" width="11.42578125" style="52"/>
    <col min="4360" max="4360" width="13.42578125" style="52" customWidth="1"/>
    <col min="4361" max="4361" width="15.28515625" style="52" customWidth="1"/>
    <col min="4362" max="4362" width="19.5703125" style="52" customWidth="1"/>
    <col min="4363" max="4363" width="18.28515625" style="52" bestFit="1" customWidth="1"/>
    <col min="4364" max="4364" width="10.85546875" style="52" bestFit="1" customWidth="1"/>
    <col min="4365" max="4365" width="10.7109375" style="52" bestFit="1" customWidth="1"/>
    <col min="4366" max="4366" width="13.85546875" style="52" customWidth="1"/>
    <col min="4367" max="4367" width="10.85546875" style="52" bestFit="1" customWidth="1"/>
    <col min="4368" max="4368" width="10.7109375" style="52" bestFit="1" customWidth="1"/>
    <col min="4369" max="4369" width="18" style="52" customWidth="1"/>
    <col min="4370" max="4370" width="13.140625" style="52" customWidth="1"/>
    <col min="4371" max="4371" width="16" style="52" customWidth="1"/>
    <col min="4372" max="4372" width="14.85546875" style="52" customWidth="1"/>
    <col min="4373" max="4373" width="15.28515625" style="52" customWidth="1"/>
    <col min="4374" max="4374" width="19.28515625" style="52" bestFit="1" customWidth="1"/>
    <col min="4375" max="4608" width="11.42578125" style="52"/>
    <col min="4609" max="4609" width="7.28515625" style="52" customWidth="1"/>
    <col min="4610" max="4611" width="11.28515625" style="52" bestFit="1" customWidth="1"/>
    <col min="4612" max="4612" width="9.7109375" style="52" customWidth="1"/>
    <col min="4613" max="4613" width="17.28515625" style="52" bestFit="1" customWidth="1"/>
    <col min="4614" max="4614" width="11" style="52" bestFit="1" customWidth="1"/>
    <col min="4615" max="4615" width="11.42578125" style="52"/>
    <col min="4616" max="4616" width="13.42578125" style="52" customWidth="1"/>
    <col min="4617" max="4617" width="15.28515625" style="52" customWidth="1"/>
    <col min="4618" max="4618" width="19.5703125" style="52" customWidth="1"/>
    <col min="4619" max="4619" width="18.28515625" style="52" bestFit="1" customWidth="1"/>
    <col min="4620" max="4620" width="10.85546875" style="52" bestFit="1" customWidth="1"/>
    <col min="4621" max="4621" width="10.7109375" style="52" bestFit="1" customWidth="1"/>
    <col min="4622" max="4622" width="13.85546875" style="52" customWidth="1"/>
    <col min="4623" max="4623" width="10.85546875" style="52" bestFit="1" customWidth="1"/>
    <col min="4624" max="4624" width="10.7109375" style="52" bestFit="1" customWidth="1"/>
    <col min="4625" max="4625" width="18" style="52" customWidth="1"/>
    <col min="4626" max="4626" width="13.140625" style="52" customWidth="1"/>
    <col min="4627" max="4627" width="16" style="52" customWidth="1"/>
    <col min="4628" max="4628" width="14.85546875" style="52" customWidth="1"/>
    <col min="4629" max="4629" width="15.28515625" style="52" customWidth="1"/>
    <col min="4630" max="4630" width="19.28515625" style="52" bestFit="1" customWidth="1"/>
    <col min="4631" max="4864" width="11.42578125" style="52"/>
    <col min="4865" max="4865" width="7.28515625" style="52" customWidth="1"/>
    <col min="4866" max="4867" width="11.28515625" style="52" bestFit="1" customWidth="1"/>
    <col min="4868" max="4868" width="9.7109375" style="52" customWidth="1"/>
    <col min="4869" max="4869" width="17.28515625" style="52" bestFit="1" customWidth="1"/>
    <col min="4870" max="4870" width="11" style="52" bestFit="1" customWidth="1"/>
    <col min="4871" max="4871" width="11.42578125" style="52"/>
    <col min="4872" max="4872" width="13.42578125" style="52" customWidth="1"/>
    <col min="4873" max="4873" width="15.28515625" style="52" customWidth="1"/>
    <col min="4874" max="4874" width="19.5703125" style="52" customWidth="1"/>
    <col min="4875" max="4875" width="18.28515625" style="52" bestFit="1" customWidth="1"/>
    <col min="4876" max="4876" width="10.85546875" style="52" bestFit="1" customWidth="1"/>
    <col min="4877" max="4877" width="10.7109375" style="52" bestFit="1" customWidth="1"/>
    <col min="4878" max="4878" width="13.85546875" style="52" customWidth="1"/>
    <col min="4879" max="4879" width="10.85546875" style="52" bestFit="1" customWidth="1"/>
    <col min="4880" max="4880" width="10.7109375" style="52" bestFit="1" customWidth="1"/>
    <col min="4881" max="4881" width="18" style="52" customWidth="1"/>
    <col min="4882" max="4882" width="13.140625" style="52" customWidth="1"/>
    <col min="4883" max="4883" width="16" style="52" customWidth="1"/>
    <col min="4884" max="4884" width="14.85546875" style="52" customWidth="1"/>
    <col min="4885" max="4885" width="15.28515625" style="52" customWidth="1"/>
    <col min="4886" max="4886" width="19.28515625" style="52" bestFit="1" customWidth="1"/>
    <col min="4887" max="5120" width="11.42578125" style="52"/>
    <col min="5121" max="5121" width="7.28515625" style="52" customWidth="1"/>
    <col min="5122" max="5123" width="11.28515625" style="52" bestFit="1" customWidth="1"/>
    <col min="5124" max="5124" width="9.7109375" style="52" customWidth="1"/>
    <col min="5125" max="5125" width="17.28515625" style="52" bestFit="1" customWidth="1"/>
    <col min="5126" max="5126" width="11" style="52" bestFit="1" customWidth="1"/>
    <col min="5127" max="5127" width="11.42578125" style="52"/>
    <col min="5128" max="5128" width="13.42578125" style="52" customWidth="1"/>
    <col min="5129" max="5129" width="15.28515625" style="52" customWidth="1"/>
    <col min="5130" max="5130" width="19.5703125" style="52" customWidth="1"/>
    <col min="5131" max="5131" width="18.28515625" style="52" bestFit="1" customWidth="1"/>
    <col min="5132" max="5132" width="10.85546875" style="52" bestFit="1" customWidth="1"/>
    <col min="5133" max="5133" width="10.7109375" style="52" bestFit="1" customWidth="1"/>
    <col min="5134" max="5134" width="13.85546875" style="52" customWidth="1"/>
    <col min="5135" max="5135" width="10.85546875" style="52" bestFit="1" customWidth="1"/>
    <col min="5136" max="5136" width="10.7109375" style="52" bestFit="1" customWidth="1"/>
    <col min="5137" max="5137" width="18" style="52" customWidth="1"/>
    <col min="5138" max="5138" width="13.140625" style="52" customWidth="1"/>
    <col min="5139" max="5139" width="16" style="52" customWidth="1"/>
    <col min="5140" max="5140" width="14.85546875" style="52" customWidth="1"/>
    <col min="5141" max="5141" width="15.28515625" style="52" customWidth="1"/>
    <col min="5142" max="5142" width="19.28515625" style="52" bestFit="1" customWidth="1"/>
    <col min="5143" max="5376" width="11.42578125" style="52"/>
    <col min="5377" max="5377" width="7.28515625" style="52" customWidth="1"/>
    <col min="5378" max="5379" width="11.28515625" style="52" bestFit="1" customWidth="1"/>
    <col min="5380" max="5380" width="9.7109375" style="52" customWidth="1"/>
    <col min="5381" max="5381" width="17.28515625" style="52" bestFit="1" customWidth="1"/>
    <col min="5382" max="5382" width="11" style="52" bestFit="1" customWidth="1"/>
    <col min="5383" max="5383" width="11.42578125" style="52"/>
    <col min="5384" max="5384" width="13.42578125" style="52" customWidth="1"/>
    <col min="5385" max="5385" width="15.28515625" style="52" customWidth="1"/>
    <col min="5386" max="5386" width="19.5703125" style="52" customWidth="1"/>
    <col min="5387" max="5387" width="18.28515625" style="52" bestFit="1" customWidth="1"/>
    <col min="5388" max="5388" width="10.85546875" style="52" bestFit="1" customWidth="1"/>
    <col min="5389" max="5389" width="10.7109375" style="52" bestFit="1" customWidth="1"/>
    <col min="5390" max="5390" width="13.85546875" style="52" customWidth="1"/>
    <col min="5391" max="5391" width="10.85546875" style="52" bestFit="1" customWidth="1"/>
    <col min="5392" max="5392" width="10.7109375" style="52" bestFit="1" customWidth="1"/>
    <col min="5393" max="5393" width="18" style="52" customWidth="1"/>
    <col min="5394" max="5394" width="13.140625" style="52" customWidth="1"/>
    <col min="5395" max="5395" width="16" style="52" customWidth="1"/>
    <col min="5396" max="5396" width="14.85546875" style="52" customWidth="1"/>
    <col min="5397" max="5397" width="15.28515625" style="52" customWidth="1"/>
    <col min="5398" max="5398" width="19.28515625" style="52" bestFit="1" customWidth="1"/>
    <col min="5399" max="5632" width="11.42578125" style="52"/>
    <col min="5633" max="5633" width="7.28515625" style="52" customWidth="1"/>
    <col min="5634" max="5635" width="11.28515625" style="52" bestFit="1" customWidth="1"/>
    <col min="5636" max="5636" width="9.7109375" style="52" customWidth="1"/>
    <col min="5637" max="5637" width="17.28515625" style="52" bestFit="1" customWidth="1"/>
    <col min="5638" max="5638" width="11" style="52" bestFit="1" customWidth="1"/>
    <col min="5639" max="5639" width="11.42578125" style="52"/>
    <col min="5640" max="5640" width="13.42578125" style="52" customWidth="1"/>
    <col min="5641" max="5641" width="15.28515625" style="52" customWidth="1"/>
    <col min="5642" max="5642" width="19.5703125" style="52" customWidth="1"/>
    <col min="5643" max="5643" width="18.28515625" style="52" bestFit="1" customWidth="1"/>
    <col min="5644" max="5644" width="10.85546875" style="52" bestFit="1" customWidth="1"/>
    <col min="5645" max="5645" width="10.7109375" style="52" bestFit="1" customWidth="1"/>
    <col min="5646" max="5646" width="13.85546875" style="52" customWidth="1"/>
    <col min="5647" max="5647" width="10.85546875" style="52" bestFit="1" customWidth="1"/>
    <col min="5648" max="5648" width="10.7109375" style="52" bestFit="1" customWidth="1"/>
    <col min="5649" max="5649" width="18" style="52" customWidth="1"/>
    <col min="5650" max="5650" width="13.140625" style="52" customWidth="1"/>
    <col min="5651" max="5651" width="16" style="52" customWidth="1"/>
    <col min="5652" max="5652" width="14.85546875" style="52" customWidth="1"/>
    <col min="5653" max="5653" width="15.28515625" style="52" customWidth="1"/>
    <col min="5654" max="5654" width="19.28515625" style="52" bestFit="1" customWidth="1"/>
    <col min="5655" max="5888" width="11.42578125" style="52"/>
    <col min="5889" max="5889" width="7.28515625" style="52" customWidth="1"/>
    <col min="5890" max="5891" width="11.28515625" style="52" bestFit="1" customWidth="1"/>
    <col min="5892" max="5892" width="9.7109375" style="52" customWidth="1"/>
    <col min="5893" max="5893" width="17.28515625" style="52" bestFit="1" customWidth="1"/>
    <col min="5894" max="5894" width="11" style="52" bestFit="1" customWidth="1"/>
    <col min="5895" max="5895" width="11.42578125" style="52"/>
    <col min="5896" max="5896" width="13.42578125" style="52" customWidth="1"/>
    <col min="5897" max="5897" width="15.28515625" style="52" customWidth="1"/>
    <col min="5898" max="5898" width="19.5703125" style="52" customWidth="1"/>
    <col min="5899" max="5899" width="18.28515625" style="52" bestFit="1" customWidth="1"/>
    <col min="5900" max="5900" width="10.85546875" style="52" bestFit="1" customWidth="1"/>
    <col min="5901" max="5901" width="10.7109375" style="52" bestFit="1" customWidth="1"/>
    <col min="5902" max="5902" width="13.85546875" style="52" customWidth="1"/>
    <col min="5903" max="5903" width="10.85546875" style="52" bestFit="1" customWidth="1"/>
    <col min="5904" max="5904" width="10.7109375" style="52" bestFit="1" customWidth="1"/>
    <col min="5905" max="5905" width="18" style="52" customWidth="1"/>
    <col min="5906" max="5906" width="13.140625" style="52" customWidth="1"/>
    <col min="5907" max="5907" width="16" style="52" customWidth="1"/>
    <col min="5908" max="5908" width="14.85546875" style="52" customWidth="1"/>
    <col min="5909" max="5909" width="15.28515625" style="52" customWidth="1"/>
    <col min="5910" max="5910" width="19.28515625" style="52" bestFit="1" customWidth="1"/>
    <col min="5911" max="6144" width="11.42578125" style="52"/>
    <col min="6145" max="6145" width="7.28515625" style="52" customWidth="1"/>
    <col min="6146" max="6147" width="11.28515625" style="52" bestFit="1" customWidth="1"/>
    <col min="6148" max="6148" width="9.7109375" style="52" customWidth="1"/>
    <col min="6149" max="6149" width="17.28515625" style="52" bestFit="1" customWidth="1"/>
    <col min="6150" max="6150" width="11" style="52" bestFit="1" customWidth="1"/>
    <col min="6151" max="6151" width="11.42578125" style="52"/>
    <col min="6152" max="6152" width="13.42578125" style="52" customWidth="1"/>
    <col min="6153" max="6153" width="15.28515625" style="52" customWidth="1"/>
    <col min="6154" max="6154" width="19.5703125" style="52" customWidth="1"/>
    <col min="6155" max="6155" width="18.28515625" style="52" bestFit="1" customWidth="1"/>
    <col min="6156" max="6156" width="10.85546875" style="52" bestFit="1" customWidth="1"/>
    <col min="6157" max="6157" width="10.7109375" style="52" bestFit="1" customWidth="1"/>
    <col min="6158" max="6158" width="13.85546875" style="52" customWidth="1"/>
    <col min="6159" max="6159" width="10.85546875" style="52" bestFit="1" customWidth="1"/>
    <col min="6160" max="6160" width="10.7109375" style="52" bestFit="1" customWidth="1"/>
    <col min="6161" max="6161" width="18" style="52" customWidth="1"/>
    <col min="6162" max="6162" width="13.140625" style="52" customWidth="1"/>
    <col min="6163" max="6163" width="16" style="52" customWidth="1"/>
    <col min="6164" max="6164" width="14.85546875" style="52" customWidth="1"/>
    <col min="6165" max="6165" width="15.28515625" style="52" customWidth="1"/>
    <col min="6166" max="6166" width="19.28515625" style="52" bestFit="1" customWidth="1"/>
    <col min="6167" max="6400" width="11.42578125" style="52"/>
    <col min="6401" max="6401" width="7.28515625" style="52" customWidth="1"/>
    <col min="6402" max="6403" width="11.28515625" style="52" bestFit="1" customWidth="1"/>
    <col min="6404" max="6404" width="9.7109375" style="52" customWidth="1"/>
    <col min="6405" max="6405" width="17.28515625" style="52" bestFit="1" customWidth="1"/>
    <col min="6406" max="6406" width="11" style="52" bestFit="1" customWidth="1"/>
    <col min="6407" max="6407" width="11.42578125" style="52"/>
    <col min="6408" max="6408" width="13.42578125" style="52" customWidth="1"/>
    <col min="6409" max="6409" width="15.28515625" style="52" customWidth="1"/>
    <col min="6410" max="6410" width="19.5703125" style="52" customWidth="1"/>
    <col min="6411" max="6411" width="18.28515625" style="52" bestFit="1" customWidth="1"/>
    <col min="6412" max="6412" width="10.85546875" style="52" bestFit="1" customWidth="1"/>
    <col min="6413" max="6413" width="10.7109375" style="52" bestFit="1" customWidth="1"/>
    <col min="6414" max="6414" width="13.85546875" style="52" customWidth="1"/>
    <col min="6415" max="6415" width="10.85546875" style="52" bestFit="1" customWidth="1"/>
    <col min="6416" max="6416" width="10.7109375" style="52" bestFit="1" customWidth="1"/>
    <col min="6417" max="6417" width="18" style="52" customWidth="1"/>
    <col min="6418" max="6418" width="13.140625" style="52" customWidth="1"/>
    <col min="6419" max="6419" width="16" style="52" customWidth="1"/>
    <col min="6420" max="6420" width="14.85546875" style="52" customWidth="1"/>
    <col min="6421" max="6421" width="15.28515625" style="52" customWidth="1"/>
    <col min="6422" max="6422" width="19.28515625" style="52" bestFit="1" customWidth="1"/>
    <col min="6423" max="6656" width="11.42578125" style="52"/>
    <col min="6657" max="6657" width="7.28515625" style="52" customWidth="1"/>
    <col min="6658" max="6659" width="11.28515625" style="52" bestFit="1" customWidth="1"/>
    <col min="6660" max="6660" width="9.7109375" style="52" customWidth="1"/>
    <col min="6661" max="6661" width="17.28515625" style="52" bestFit="1" customWidth="1"/>
    <col min="6662" max="6662" width="11" style="52" bestFit="1" customWidth="1"/>
    <col min="6663" max="6663" width="11.42578125" style="52"/>
    <col min="6664" max="6664" width="13.42578125" style="52" customWidth="1"/>
    <col min="6665" max="6665" width="15.28515625" style="52" customWidth="1"/>
    <col min="6666" max="6666" width="19.5703125" style="52" customWidth="1"/>
    <col min="6667" max="6667" width="18.28515625" style="52" bestFit="1" customWidth="1"/>
    <col min="6668" max="6668" width="10.85546875" style="52" bestFit="1" customWidth="1"/>
    <col min="6669" max="6669" width="10.7109375" style="52" bestFit="1" customWidth="1"/>
    <col min="6670" max="6670" width="13.85546875" style="52" customWidth="1"/>
    <col min="6671" max="6671" width="10.85546875" style="52" bestFit="1" customWidth="1"/>
    <col min="6672" max="6672" width="10.7109375" style="52" bestFit="1" customWidth="1"/>
    <col min="6673" max="6673" width="18" style="52" customWidth="1"/>
    <col min="6674" max="6674" width="13.140625" style="52" customWidth="1"/>
    <col min="6675" max="6675" width="16" style="52" customWidth="1"/>
    <col min="6676" max="6676" width="14.85546875" style="52" customWidth="1"/>
    <col min="6677" max="6677" width="15.28515625" style="52" customWidth="1"/>
    <col min="6678" max="6678" width="19.28515625" style="52" bestFit="1" customWidth="1"/>
    <col min="6679" max="6912" width="11.42578125" style="52"/>
    <col min="6913" max="6913" width="7.28515625" style="52" customWidth="1"/>
    <col min="6914" max="6915" width="11.28515625" style="52" bestFit="1" customWidth="1"/>
    <col min="6916" max="6916" width="9.7109375" style="52" customWidth="1"/>
    <col min="6917" max="6917" width="17.28515625" style="52" bestFit="1" customWidth="1"/>
    <col min="6918" max="6918" width="11" style="52" bestFit="1" customWidth="1"/>
    <col min="6919" max="6919" width="11.42578125" style="52"/>
    <col min="6920" max="6920" width="13.42578125" style="52" customWidth="1"/>
    <col min="6921" max="6921" width="15.28515625" style="52" customWidth="1"/>
    <col min="6922" max="6922" width="19.5703125" style="52" customWidth="1"/>
    <col min="6923" max="6923" width="18.28515625" style="52" bestFit="1" customWidth="1"/>
    <col min="6924" max="6924" width="10.85546875" style="52" bestFit="1" customWidth="1"/>
    <col min="6925" max="6925" width="10.7109375" style="52" bestFit="1" customWidth="1"/>
    <col min="6926" max="6926" width="13.85546875" style="52" customWidth="1"/>
    <col min="6927" max="6927" width="10.85546875" style="52" bestFit="1" customWidth="1"/>
    <col min="6928" max="6928" width="10.7109375" style="52" bestFit="1" customWidth="1"/>
    <col min="6929" max="6929" width="18" style="52" customWidth="1"/>
    <col min="6930" max="6930" width="13.140625" style="52" customWidth="1"/>
    <col min="6931" max="6931" width="16" style="52" customWidth="1"/>
    <col min="6932" max="6932" width="14.85546875" style="52" customWidth="1"/>
    <col min="6933" max="6933" width="15.28515625" style="52" customWidth="1"/>
    <col min="6934" max="6934" width="19.28515625" style="52" bestFit="1" customWidth="1"/>
    <col min="6935" max="7168" width="11.42578125" style="52"/>
    <col min="7169" max="7169" width="7.28515625" style="52" customWidth="1"/>
    <col min="7170" max="7171" width="11.28515625" style="52" bestFit="1" customWidth="1"/>
    <col min="7172" max="7172" width="9.7109375" style="52" customWidth="1"/>
    <col min="7173" max="7173" width="17.28515625" style="52" bestFit="1" customWidth="1"/>
    <col min="7174" max="7174" width="11" style="52" bestFit="1" customWidth="1"/>
    <col min="7175" max="7175" width="11.42578125" style="52"/>
    <col min="7176" max="7176" width="13.42578125" style="52" customWidth="1"/>
    <col min="7177" max="7177" width="15.28515625" style="52" customWidth="1"/>
    <col min="7178" max="7178" width="19.5703125" style="52" customWidth="1"/>
    <col min="7179" max="7179" width="18.28515625" style="52" bestFit="1" customWidth="1"/>
    <col min="7180" max="7180" width="10.85546875" style="52" bestFit="1" customWidth="1"/>
    <col min="7181" max="7181" width="10.7109375" style="52" bestFit="1" customWidth="1"/>
    <col min="7182" max="7182" width="13.85546875" style="52" customWidth="1"/>
    <col min="7183" max="7183" width="10.85546875" style="52" bestFit="1" customWidth="1"/>
    <col min="7184" max="7184" width="10.7109375" style="52" bestFit="1" customWidth="1"/>
    <col min="7185" max="7185" width="18" style="52" customWidth="1"/>
    <col min="7186" max="7186" width="13.140625" style="52" customWidth="1"/>
    <col min="7187" max="7187" width="16" style="52" customWidth="1"/>
    <col min="7188" max="7188" width="14.85546875" style="52" customWidth="1"/>
    <col min="7189" max="7189" width="15.28515625" style="52" customWidth="1"/>
    <col min="7190" max="7190" width="19.28515625" style="52" bestFit="1" customWidth="1"/>
    <col min="7191" max="7424" width="11.42578125" style="52"/>
    <col min="7425" max="7425" width="7.28515625" style="52" customWidth="1"/>
    <col min="7426" max="7427" width="11.28515625" style="52" bestFit="1" customWidth="1"/>
    <col min="7428" max="7428" width="9.7109375" style="52" customWidth="1"/>
    <col min="7429" max="7429" width="17.28515625" style="52" bestFit="1" customWidth="1"/>
    <col min="7430" max="7430" width="11" style="52" bestFit="1" customWidth="1"/>
    <col min="7431" max="7431" width="11.42578125" style="52"/>
    <col min="7432" max="7432" width="13.42578125" style="52" customWidth="1"/>
    <col min="7433" max="7433" width="15.28515625" style="52" customWidth="1"/>
    <col min="7434" max="7434" width="19.5703125" style="52" customWidth="1"/>
    <col min="7435" max="7435" width="18.28515625" style="52" bestFit="1" customWidth="1"/>
    <col min="7436" max="7436" width="10.85546875" style="52" bestFit="1" customWidth="1"/>
    <col min="7437" max="7437" width="10.7109375" style="52" bestFit="1" customWidth="1"/>
    <col min="7438" max="7438" width="13.85546875" style="52" customWidth="1"/>
    <col min="7439" max="7439" width="10.85546875" style="52" bestFit="1" customWidth="1"/>
    <col min="7440" max="7440" width="10.7109375" style="52" bestFit="1" customWidth="1"/>
    <col min="7441" max="7441" width="18" style="52" customWidth="1"/>
    <col min="7442" max="7442" width="13.140625" style="52" customWidth="1"/>
    <col min="7443" max="7443" width="16" style="52" customWidth="1"/>
    <col min="7444" max="7444" width="14.85546875" style="52" customWidth="1"/>
    <col min="7445" max="7445" width="15.28515625" style="52" customWidth="1"/>
    <col min="7446" max="7446" width="19.28515625" style="52" bestFit="1" customWidth="1"/>
    <col min="7447" max="7680" width="11.42578125" style="52"/>
    <col min="7681" max="7681" width="7.28515625" style="52" customWidth="1"/>
    <col min="7682" max="7683" width="11.28515625" style="52" bestFit="1" customWidth="1"/>
    <col min="7684" max="7684" width="9.7109375" style="52" customWidth="1"/>
    <col min="7685" max="7685" width="17.28515625" style="52" bestFit="1" customWidth="1"/>
    <col min="7686" max="7686" width="11" style="52" bestFit="1" customWidth="1"/>
    <col min="7687" max="7687" width="11.42578125" style="52"/>
    <col min="7688" max="7688" width="13.42578125" style="52" customWidth="1"/>
    <col min="7689" max="7689" width="15.28515625" style="52" customWidth="1"/>
    <col min="7690" max="7690" width="19.5703125" style="52" customWidth="1"/>
    <col min="7691" max="7691" width="18.28515625" style="52" bestFit="1" customWidth="1"/>
    <col min="7692" max="7692" width="10.85546875" style="52" bestFit="1" customWidth="1"/>
    <col min="7693" max="7693" width="10.7109375" style="52" bestFit="1" customWidth="1"/>
    <col min="7694" max="7694" width="13.85546875" style="52" customWidth="1"/>
    <col min="7695" max="7695" width="10.85546875" style="52" bestFit="1" customWidth="1"/>
    <col min="7696" max="7696" width="10.7109375" style="52" bestFit="1" customWidth="1"/>
    <col min="7697" max="7697" width="18" style="52" customWidth="1"/>
    <col min="7698" max="7698" width="13.140625" style="52" customWidth="1"/>
    <col min="7699" max="7699" width="16" style="52" customWidth="1"/>
    <col min="7700" max="7700" width="14.85546875" style="52" customWidth="1"/>
    <col min="7701" max="7701" width="15.28515625" style="52" customWidth="1"/>
    <col min="7702" max="7702" width="19.28515625" style="52" bestFit="1" customWidth="1"/>
    <col min="7703" max="7936" width="11.42578125" style="52"/>
    <col min="7937" max="7937" width="7.28515625" style="52" customWidth="1"/>
    <col min="7938" max="7939" width="11.28515625" style="52" bestFit="1" customWidth="1"/>
    <col min="7940" max="7940" width="9.7109375" style="52" customWidth="1"/>
    <col min="7941" max="7941" width="17.28515625" style="52" bestFit="1" customWidth="1"/>
    <col min="7942" max="7942" width="11" style="52" bestFit="1" customWidth="1"/>
    <col min="7943" max="7943" width="11.42578125" style="52"/>
    <col min="7944" max="7944" width="13.42578125" style="52" customWidth="1"/>
    <col min="7945" max="7945" width="15.28515625" style="52" customWidth="1"/>
    <col min="7946" max="7946" width="19.5703125" style="52" customWidth="1"/>
    <col min="7947" max="7947" width="18.28515625" style="52" bestFit="1" customWidth="1"/>
    <col min="7948" max="7948" width="10.85546875" style="52" bestFit="1" customWidth="1"/>
    <col min="7949" max="7949" width="10.7109375" style="52" bestFit="1" customWidth="1"/>
    <col min="7950" max="7950" width="13.85546875" style="52" customWidth="1"/>
    <col min="7951" max="7951" width="10.85546875" style="52" bestFit="1" customWidth="1"/>
    <col min="7952" max="7952" width="10.7109375" style="52" bestFit="1" customWidth="1"/>
    <col min="7953" max="7953" width="18" style="52" customWidth="1"/>
    <col min="7954" max="7954" width="13.140625" style="52" customWidth="1"/>
    <col min="7955" max="7955" width="16" style="52" customWidth="1"/>
    <col min="7956" max="7956" width="14.85546875" style="52" customWidth="1"/>
    <col min="7957" max="7957" width="15.28515625" style="52" customWidth="1"/>
    <col min="7958" max="7958" width="19.28515625" style="52" bestFit="1" customWidth="1"/>
    <col min="7959" max="8192" width="11.42578125" style="52"/>
    <col min="8193" max="8193" width="7.28515625" style="52" customWidth="1"/>
    <col min="8194" max="8195" width="11.28515625" style="52" bestFit="1" customWidth="1"/>
    <col min="8196" max="8196" width="9.7109375" style="52" customWidth="1"/>
    <col min="8197" max="8197" width="17.28515625" style="52" bestFit="1" customWidth="1"/>
    <col min="8198" max="8198" width="11" style="52" bestFit="1" customWidth="1"/>
    <col min="8199" max="8199" width="11.42578125" style="52"/>
    <col min="8200" max="8200" width="13.42578125" style="52" customWidth="1"/>
    <col min="8201" max="8201" width="15.28515625" style="52" customWidth="1"/>
    <col min="8202" max="8202" width="19.5703125" style="52" customWidth="1"/>
    <col min="8203" max="8203" width="18.28515625" style="52" bestFit="1" customWidth="1"/>
    <col min="8204" max="8204" width="10.85546875" style="52" bestFit="1" customWidth="1"/>
    <col min="8205" max="8205" width="10.7109375" style="52" bestFit="1" customWidth="1"/>
    <col min="8206" max="8206" width="13.85546875" style="52" customWidth="1"/>
    <col min="8207" max="8207" width="10.85546875" style="52" bestFit="1" customWidth="1"/>
    <col min="8208" max="8208" width="10.7109375" style="52" bestFit="1" customWidth="1"/>
    <col min="8209" max="8209" width="18" style="52" customWidth="1"/>
    <col min="8210" max="8210" width="13.140625" style="52" customWidth="1"/>
    <col min="8211" max="8211" width="16" style="52" customWidth="1"/>
    <col min="8212" max="8212" width="14.85546875" style="52" customWidth="1"/>
    <col min="8213" max="8213" width="15.28515625" style="52" customWidth="1"/>
    <col min="8214" max="8214" width="19.28515625" style="52" bestFit="1" customWidth="1"/>
    <col min="8215" max="8448" width="11.42578125" style="52"/>
    <col min="8449" max="8449" width="7.28515625" style="52" customWidth="1"/>
    <col min="8450" max="8451" width="11.28515625" style="52" bestFit="1" customWidth="1"/>
    <col min="8452" max="8452" width="9.7109375" style="52" customWidth="1"/>
    <col min="8453" max="8453" width="17.28515625" style="52" bestFit="1" customWidth="1"/>
    <col min="8454" max="8454" width="11" style="52" bestFit="1" customWidth="1"/>
    <col min="8455" max="8455" width="11.42578125" style="52"/>
    <col min="8456" max="8456" width="13.42578125" style="52" customWidth="1"/>
    <col min="8457" max="8457" width="15.28515625" style="52" customWidth="1"/>
    <col min="8458" max="8458" width="19.5703125" style="52" customWidth="1"/>
    <col min="8459" max="8459" width="18.28515625" style="52" bestFit="1" customWidth="1"/>
    <col min="8460" max="8460" width="10.85546875" style="52" bestFit="1" customWidth="1"/>
    <col min="8461" max="8461" width="10.7109375" style="52" bestFit="1" customWidth="1"/>
    <col min="8462" max="8462" width="13.85546875" style="52" customWidth="1"/>
    <col min="8463" max="8463" width="10.85546875" style="52" bestFit="1" customWidth="1"/>
    <col min="8464" max="8464" width="10.7109375" style="52" bestFit="1" customWidth="1"/>
    <col min="8465" max="8465" width="18" style="52" customWidth="1"/>
    <col min="8466" max="8466" width="13.140625" style="52" customWidth="1"/>
    <col min="8467" max="8467" width="16" style="52" customWidth="1"/>
    <col min="8468" max="8468" width="14.85546875" style="52" customWidth="1"/>
    <col min="8469" max="8469" width="15.28515625" style="52" customWidth="1"/>
    <col min="8470" max="8470" width="19.28515625" style="52" bestFit="1" customWidth="1"/>
    <col min="8471" max="8704" width="11.42578125" style="52"/>
    <col min="8705" max="8705" width="7.28515625" style="52" customWidth="1"/>
    <col min="8706" max="8707" width="11.28515625" style="52" bestFit="1" customWidth="1"/>
    <col min="8708" max="8708" width="9.7109375" style="52" customWidth="1"/>
    <col min="8709" max="8709" width="17.28515625" style="52" bestFit="1" customWidth="1"/>
    <col min="8710" max="8710" width="11" style="52" bestFit="1" customWidth="1"/>
    <col min="8711" max="8711" width="11.42578125" style="52"/>
    <col min="8712" max="8712" width="13.42578125" style="52" customWidth="1"/>
    <col min="8713" max="8713" width="15.28515625" style="52" customWidth="1"/>
    <col min="8714" max="8714" width="19.5703125" style="52" customWidth="1"/>
    <col min="8715" max="8715" width="18.28515625" style="52" bestFit="1" customWidth="1"/>
    <col min="8716" max="8716" width="10.85546875" style="52" bestFit="1" customWidth="1"/>
    <col min="8717" max="8717" width="10.7109375" style="52" bestFit="1" customWidth="1"/>
    <col min="8718" max="8718" width="13.85546875" style="52" customWidth="1"/>
    <col min="8719" max="8719" width="10.85546875" style="52" bestFit="1" customWidth="1"/>
    <col min="8720" max="8720" width="10.7109375" style="52" bestFit="1" customWidth="1"/>
    <col min="8721" max="8721" width="18" style="52" customWidth="1"/>
    <col min="8722" max="8722" width="13.140625" style="52" customWidth="1"/>
    <col min="8723" max="8723" width="16" style="52" customWidth="1"/>
    <col min="8724" max="8724" width="14.85546875" style="52" customWidth="1"/>
    <col min="8725" max="8725" width="15.28515625" style="52" customWidth="1"/>
    <col min="8726" max="8726" width="19.28515625" style="52" bestFit="1" customWidth="1"/>
    <col min="8727" max="8960" width="11.42578125" style="52"/>
    <col min="8961" max="8961" width="7.28515625" style="52" customWidth="1"/>
    <col min="8962" max="8963" width="11.28515625" style="52" bestFit="1" customWidth="1"/>
    <col min="8964" max="8964" width="9.7109375" style="52" customWidth="1"/>
    <col min="8965" max="8965" width="17.28515625" style="52" bestFit="1" customWidth="1"/>
    <col min="8966" max="8966" width="11" style="52" bestFit="1" customWidth="1"/>
    <col min="8967" max="8967" width="11.42578125" style="52"/>
    <col min="8968" max="8968" width="13.42578125" style="52" customWidth="1"/>
    <col min="8969" max="8969" width="15.28515625" style="52" customWidth="1"/>
    <col min="8970" max="8970" width="19.5703125" style="52" customWidth="1"/>
    <col min="8971" max="8971" width="18.28515625" style="52" bestFit="1" customWidth="1"/>
    <col min="8972" max="8972" width="10.85546875" style="52" bestFit="1" customWidth="1"/>
    <col min="8973" max="8973" width="10.7109375" style="52" bestFit="1" customWidth="1"/>
    <col min="8974" max="8974" width="13.85546875" style="52" customWidth="1"/>
    <col min="8975" max="8975" width="10.85546875" style="52" bestFit="1" customWidth="1"/>
    <col min="8976" max="8976" width="10.7109375" style="52" bestFit="1" customWidth="1"/>
    <col min="8977" max="8977" width="18" style="52" customWidth="1"/>
    <col min="8978" max="8978" width="13.140625" style="52" customWidth="1"/>
    <col min="8979" max="8979" width="16" style="52" customWidth="1"/>
    <col min="8980" max="8980" width="14.85546875" style="52" customWidth="1"/>
    <col min="8981" max="8981" width="15.28515625" style="52" customWidth="1"/>
    <col min="8982" max="8982" width="19.28515625" style="52" bestFit="1" customWidth="1"/>
    <col min="8983" max="9216" width="11.42578125" style="52"/>
    <col min="9217" max="9217" width="7.28515625" style="52" customWidth="1"/>
    <col min="9218" max="9219" width="11.28515625" style="52" bestFit="1" customWidth="1"/>
    <col min="9220" max="9220" width="9.7109375" style="52" customWidth="1"/>
    <col min="9221" max="9221" width="17.28515625" style="52" bestFit="1" customWidth="1"/>
    <col min="9222" max="9222" width="11" style="52" bestFit="1" customWidth="1"/>
    <col min="9223" max="9223" width="11.42578125" style="52"/>
    <col min="9224" max="9224" width="13.42578125" style="52" customWidth="1"/>
    <col min="9225" max="9225" width="15.28515625" style="52" customWidth="1"/>
    <col min="9226" max="9226" width="19.5703125" style="52" customWidth="1"/>
    <col min="9227" max="9227" width="18.28515625" style="52" bestFit="1" customWidth="1"/>
    <col min="9228" max="9228" width="10.85546875" style="52" bestFit="1" customWidth="1"/>
    <col min="9229" max="9229" width="10.7109375" style="52" bestFit="1" customWidth="1"/>
    <col min="9230" max="9230" width="13.85546875" style="52" customWidth="1"/>
    <col min="9231" max="9231" width="10.85546875" style="52" bestFit="1" customWidth="1"/>
    <col min="9232" max="9232" width="10.7109375" style="52" bestFit="1" customWidth="1"/>
    <col min="9233" max="9233" width="18" style="52" customWidth="1"/>
    <col min="9234" max="9234" width="13.140625" style="52" customWidth="1"/>
    <col min="9235" max="9235" width="16" style="52" customWidth="1"/>
    <col min="9236" max="9236" width="14.85546875" style="52" customWidth="1"/>
    <col min="9237" max="9237" width="15.28515625" style="52" customWidth="1"/>
    <col min="9238" max="9238" width="19.28515625" style="52" bestFit="1" customWidth="1"/>
    <col min="9239" max="9472" width="11.42578125" style="52"/>
    <col min="9473" max="9473" width="7.28515625" style="52" customWidth="1"/>
    <col min="9474" max="9475" width="11.28515625" style="52" bestFit="1" customWidth="1"/>
    <col min="9476" max="9476" width="9.7109375" style="52" customWidth="1"/>
    <col min="9477" max="9477" width="17.28515625" style="52" bestFit="1" customWidth="1"/>
    <col min="9478" max="9478" width="11" style="52" bestFit="1" customWidth="1"/>
    <col min="9479" max="9479" width="11.42578125" style="52"/>
    <col min="9480" max="9480" width="13.42578125" style="52" customWidth="1"/>
    <col min="9481" max="9481" width="15.28515625" style="52" customWidth="1"/>
    <col min="9482" max="9482" width="19.5703125" style="52" customWidth="1"/>
    <col min="9483" max="9483" width="18.28515625" style="52" bestFit="1" customWidth="1"/>
    <col min="9484" max="9484" width="10.85546875" style="52" bestFit="1" customWidth="1"/>
    <col min="9485" max="9485" width="10.7109375" style="52" bestFit="1" customWidth="1"/>
    <col min="9486" max="9486" width="13.85546875" style="52" customWidth="1"/>
    <col min="9487" max="9487" width="10.85546875" style="52" bestFit="1" customWidth="1"/>
    <col min="9488" max="9488" width="10.7109375" style="52" bestFit="1" customWidth="1"/>
    <col min="9489" max="9489" width="18" style="52" customWidth="1"/>
    <col min="9490" max="9490" width="13.140625" style="52" customWidth="1"/>
    <col min="9491" max="9491" width="16" style="52" customWidth="1"/>
    <col min="9492" max="9492" width="14.85546875" style="52" customWidth="1"/>
    <col min="9493" max="9493" width="15.28515625" style="52" customWidth="1"/>
    <col min="9494" max="9494" width="19.28515625" style="52" bestFit="1" customWidth="1"/>
    <col min="9495" max="9728" width="11.42578125" style="52"/>
    <col min="9729" max="9729" width="7.28515625" style="52" customWidth="1"/>
    <col min="9730" max="9731" width="11.28515625" style="52" bestFit="1" customWidth="1"/>
    <col min="9732" max="9732" width="9.7109375" style="52" customWidth="1"/>
    <col min="9733" max="9733" width="17.28515625" style="52" bestFit="1" customWidth="1"/>
    <col min="9734" max="9734" width="11" style="52" bestFit="1" customWidth="1"/>
    <col min="9735" max="9735" width="11.42578125" style="52"/>
    <col min="9736" max="9736" width="13.42578125" style="52" customWidth="1"/>
    <col min="9737" max="9737" width="15.28515625" style="52" customWidth="1"/>
    <col min="9738" max="9738" width="19.5703125" style="52" customWidth="1"/>
    <col min="9739" max="9739" width="18.28515625" style="52" bestFit="1" customWidth="1"/>
    <col min="9740" max="9740" width="10.85546875" style="52" bestFit="1" customWidth="1"/>
    <col min="9741" max="9741" width="10.7109375" style="52" bestFit="1" customWidth="1"/>
    <col min="9742" max="9742" width="13.85546875" style="52" customWidth="1"/>
    <col min="9743" max="9743" width="10.85546875" style="52" bestFit="1" customWidth="1"/>
    <col min="9744" max="9744" width="10.7109375" style="52" bestFit="1" customWidth="1"/>
    <col min="9745" max="9745" width="18" style="52" customWidth="1"/>
    <col min="9746" max="9746" width="13.140625" style="52" customWidth="1"/>
    <col min="9747" max="9747" width="16" style="52" customWidth="1"/>
    <col min="9748" max="9748" width="14.85546875" style="52" customWidth="1"/>
    <col min="9749" max="9749" width="15.28515625" style="52" customWidth="1"/>
    <col min="9750" max="9750" width="19.28515625" style="52" bestFit="1" customWidth="1"/>
    <col min="9751" max="9984" width="11.42578125" style="52"/>
    <col min="9985" max="9985" width="7.28515625" style="52" customWidth="1"/>
    <col min="9986" max="9987" width="11.28515625" style="52" bestFit="1" customWidth="1"/>
    <col min="9988" max="9988" width="9.7109375" style="52" customWidth="1"/>
    <col min="9989" max="9989" width="17.28515625" style="52" bestFit="1" customWidth="1"/>
    <col min="9990" max="9990" width="11" style="52" bestFit="1" customWidth="1"/>
    <col min="9991" max="9991" width="11.42578125" style="52"/>
    <col min="9992" max="9992" width="13.42578125" style="52" customWidth="1"/>
    <col min="9993" max="9993" width="15.28515625" style="52" customWidth="1"/>
    <col min="9994" max="9994" width="19.5703125" style="52" customWidth="1"/>
    <col min="9995" max="9995" width="18.28515625" style="52" bestFit="1" customWidth="1"/>
    <col min="9996" max="9996" width="10.85546875" style="52" bestFit="1" customWidth="1"/>
    <col min="9997" max="9997" width="10.7109375" style="52" bestFit="1" customWidth="1"/>
    <col min="9998" max="9998" width="13.85546875" style="52" customWidth="1"/>
    <col min="9999" max="9999" width="10.85546875" style="52" bestFit="1" customWidth="1"/>
    <col min="10000" max="10000" width="10.7109375" style="52" bestFit="1" customWidth="1"/>
    <col min="10001" max="10001" width="18" style="52" customWidth="1"/>
    <col min="10002" max="10002" width="13.140625" style="52" customWidth="1"/>
    <col min="10003" max="10003" width="16" style="52" customWidth="1"/>
    <col min="10004" max="10004" width="14.85546875" style="52" customWidth="1"/>
    <col min="10005" max="10005" width="15.28515625" style="52" customWidth="1"/>
    <col min="10006" max="10006" width="19.28515625" style="52" bestFit="1" customWidth="1"/>
    <col min="10007" max="10240" width="11.42578125" style="52"/>
    <col min="10241" max="10241" width="7.28515625" style="52" customWidth="1"/>
    <col min="10242" max="10243" width="11.28515625" style="52" bestFit="1" customWidth="1"/>
    <col min="10244" max="10244" width="9.7109375" style="52" customWidth="1"/>
    <col min="10245" max="10245" width="17.28515625" style="52" bestFit="1" customWidth="1"/>
    <col min="10246" max="10246" width="11" style="52" bestFit="1" customWidth="1"/>
    <col min="10247" max="10247" width="11.42578125" style="52"/>
    <col min="10248" max="10248" width="13.42578125" style="52" customWidth="1"/>
    <col min="10249" max="10249" width="15.28515625" style="52" customWidth="1"/>
    <col min="10250" max="10250" width="19.5703125" style="52" customWidth="1"/>
    <col min="10251" max="10251" width="18.28515625" style="52" bestFit="1" customWidth="1"/>
    <col min="10252" max="10252" width="10.85546875" style="52" bestFit="1" customWidth="1"/>
    <col min="10253" max="10253" width="10.7109375" style="52" bestFit="1" customWidth="1"/>
    <col min="10254" max="10254" width="13.85546875" style="52" customWidth="1"/>
    <col min="10255" max="10255" width="10.85546875" style="52" bestFit="1" customWidth="1"/>
    <col min="10256" max="10256" width="10.7109375" style="52" bestFit="1" customWidth="1"/>
    <col min="10257" max="10257" width="18" style="52" customWidth="1"/>
    <col min="10258" max="10258" width="13.140625" style="52" customWidth="1"/>
    <col min="10259" max="10259" width="16" style="52" customWidth="1"/>
    <col min="10260" max="10260" width="14.85546875" style="52" customWidth="1"/>
    <col min="10261" max="10261" width="15.28515625" style="52" customWidth="1"/>
    <col min="10262" max="10262" width="19.28515625" style="52" bestFit="1" customWidth="1"/>
    <col min="10263" max="10496" width="11.42578125" style="52"/>
    <col min="10497" max="10497" width="7.28515625" style="52" customWidth="1"/>
    <col min="10498" max="10499" width="11.28515625" style="52" bestFit="1" customWidth="1"/>
    <col min="10500" max="10500" width="9.7109375" style="52" customWidth="1"/>
    <col min="10501" max="10501" width="17.28515625" style="52" bestFit="1" customWidth="1"/>
    <col min="10502" max="10502" width="11" style="52" bestFit="1" customWidth="1"/>
    <col min="10503" max="10503" width="11.42578125" style="52"/>
    <col min="10504" max="10504" width="13.42578125" style="52" customWidth="1"/>
    <col min="10505" max="10505" width="15.28515625" style="52" customWidth="1"/>
    <col min="10506" max="10506" width="19.5703125" style="52" customWidth="1"/>
    <col min="10507" max="10507" width="18.28515625" style="52" bestFit="1" customWidth="1"/>
    <col min="10508" max="10508" width="10.85546875" style="52" bestFit="1" customWidth="1"/>
    <col min="10509" max="10509" width="10.7109375" style="52" bestFit="1" customWidth="1"/>
    <col min="10510" max="10510" width="13.85546875" style="52" customWidth="1"/>
    <col min="10511" max="10511" width="10.85546875" style="52" bestFit="1" customWidth="1"/>
    <col min="10512" max="10512" width="10.7109375" style="52" bestFit="1" customWidth="1"/>
    <col min="10513" max="10513" width="18" style="52" customWidth="1"/>
    <col min="10514" max="10514" width="13.140625" style="52" customWidth="1"/>
    <col min="10515" max="10515" width="16" style="52" customWidth="1"/>
    <col min="10516" max="10516" width="14.85546875" style="52" customWidth="1"/>
    <col min="10517" max="10517" width="15.28515625" style="52" customWidth="1"/>
    <col min="10518" max="10518" width="19.28515625" style="52" bestFit="1" customWidth="1"/>
    <col min="10519" max="10752" width="11.42578125" style="52"/>
    <col min="10753" max="10753" width="7.28515625" style="52" customWidth="1"/>
    <col min="10754" max="10755" width="11.28515625" style="52" bestFit="1" customWidth="1"/>
    <col min="10756" max="10756" width="9.7109375" style="52" customWidth="1"/>
    <col min="10757" max="10757" width="17.28515625" style="52" bestFit="1" customWidth="1"/>
    <col min="10758" max="10758" width="11" style="52" bestFit="1" customWidth="1"/>
    <col min="10759" max="10759" width="11.42578125" style="52"/>
    <col min="10760" max="10760" width="13.42578125" style="52" customWidth="1"/>
    <col min="10761" max="10761" width="15.28515625" style="52" customWidth="1"/>
    <col min="10762" max="10762" width="19.5703125" style="52" customWidth="1"/>
    <col min="10763" max="10763" width="18.28515625" style="52" bestFit="1" customWidth="1"/>
    <col min="10764" max="10764" width="10.85546875" style="52" bestFit="1" customWidth="1"/>
    <col min="10765" max="10765" width="10.7109375" style="52" bestFit="1" customWidth="1"/>
    <col min="10766" max="10766" width="13.85546875" style="52" customWidth="1"/>
    <col min="10767" max="10767" width="10.85546875" style="52" bestFit="1" customWidth="1"/>
    <col min="10768" max="10768" width="10.7109375" style="52" bestFit="1" customWidth="1"/>
    <col min="10769" max="10769" width="18" style="52" customWidth="1"/>
    <col min="10770" max="10770" width="13.140625" style="52" customWidth="1"/>
    <col min="10771" max="10771" width="16" style="52" customWidth="1"/>
    <col min="10772" max="10772" width="14.85546875" style="52" customWidth="1"/>
    <col min="10773" max="10773" width="15.28515625" style="52" customWidth="1"/>
    <col min="10774" max="10774" width="19.28515625" style="52" bestFit="1" customWidth="1"/>
    <col min="10775" max="11008" width="11.42578125" style="52"/>
    <col min="11009" max="11009" width="7.28515625" style="52" customWidth="1"/>
    <col min="11010" max="11011" width="11.28515625" style="52" bestFit="1" customWidth="1"/>
    <col min="11012" max="11012" width="9.7109375" style="52" customWidth="1"/>
    <col min="11013" max="11013" width="17.28515625" style="52" bestFit="1" customWidth="1"/>
    <col min="11014" max="11014" width="11" style="52" bestFit="1" customWidth="1"/>
    <col min="11015" max="11015" width="11.42578125" style="52"/>
    <col min="11016" max="11016" width="13.42578125" style="52" customWidth="1"/>
    <col min="11017" max="11017" width="15.28515625" style="52" customWidth="1"/>
    <col min="11018" max="11018" width="19.5703125" style="52" customWidth="1"/>
    <col min="11019" max="11019" width="18.28515625" style="52" bestFit="1" customWidth="1"/>
    <col min="11020" max="11020" width="10.85546875" style="52" bestFit="1" customWidth="1"/>
    <col min="11021" max="11021" width="10.7109375" style="52" bestFit="1" customWidth="1"/>
    <col min="11022" max="11022" width="13.85546875" style="52" customWidth="1"/>
    <col min="11023" max="11023" width="10.85546875" style="52" bestFit="1" customWidth="1"/>
    <col min="11024" max="11024" width="10.7109375" style="52" bestFit="1" customWidth="1"/>
    <col min="11025" max="11025" width="18" style="52" customWidth="1"/>
    <col min="11026" max="11026" width="13.140625" style="52" customWidth="1"/>
    <col min="11027" max="11027" width="16" style="52" customWidth="1"/>
    <col min="11028" max="11028" width="14.85546875" style="52" customWidth="1"/>
    <col min="11029" max="11029" width="15.28515625" style="52" customWidth="1"/>
    <col min="11030" max="11030" width="19.28515625" style="52" bestFit="1" customWidth="1"/>
    <col min="11031" max="11264" width="11.42578125" style="52"/>
    <col min="11265" max="11265" width="7.28515625" style="52" customWidth="1"/>
    <col min="11266" max="11267" width="11.28515625" style="52" bestFit="1" customWidth="1"/>
    <col min="11268" max="11268" width="9.7109375" style="52" customWidth="1"/>
    <col min="11269" max="11269" width="17.28515625" style="52" bestFit="1" customWidth="1"/>
    <col min="11270" max="11270" width="11" style="52" bestFit="1" customWidth="1"/>
    <col min="11271" max="11271" width="11.42578125" style="52"/>
    <col min="11272" max="11272" width="13.42578125" style="52" customWidth="1"/>
    <col min="11273" max="11273" width="15.28515625" style="52" customWidth="1"/>
    <col min="11274" max="11274" width="19.5703125" style="52" customWidth="1"/>
    <col min="11275" max="11275" width="18.28515625" style="52" bestFit="1" customWidth="1"/>
    <col min="11276" max="11276" width="10.85546875" style="52" bestFit="1" customWidth="1"/>
    <col min="11277" max="11277" width="10.7109375" style="52" bestFit="1" customWidth="1"/>
    <col min="11278" max="11278" width="13.85546875" style="52" customWidth="1"/>
    <col min="11279" max="11279" width="10.85546875" style="52" bestFit="1" customWidth="1"/>
    <col min="11280" max="11280" width="10.7109375" style="52" bestFit="1" customWidth="1"/>
    <col min="11281" max="11281" width="18" style="52" customWidth="1"/>
    <col min="11282" max="11282" width="13.140625" style="52" customWidth="1"/>
    <col min="11283" max="11283" width="16" style="52" customWidth="1"/>
    <col min="11284" max="11284" width="14.85546875" style="52" customWidth="1"/>
    <col min="11285" max="11285" width="15.28515625" style="52" customWidth="1"/>
    <col min="11286" max="11286" width="19.28515625" style="52" bestFit="1" customWidth="1"/>
    <col min="11287" max="11520" width="11.42578125" style="52"/>
    <col min="11521" max="11521" width="7.28515625" style="52" customWidth="1"/>
    <col min="11522" max="11523" width="11.28515625" style="52" bestFit="1" customWidth="1"/>
    <col min="11524" max="11524" width="9.7109375" style="52" customWidth="1"/>
    <col min="11525" max="11525" width="17.28515625" style="52" bestFit="1" customWidth="1"/>
    <col min="11526" max="11526" width="11" style="52" bestFit="1" customWidth="1"/>
    <col min="11527" max="11527" width="11.42578125" style="52"/>
    <col min="11528" max="11528" width="13.42578125" style="52" customWidth="1"/>
    <col min="11529" max="11529" width="15.28515625" style="52" customWidth="1"/>
    <col min="11530" max="11530" width="19.5703125" style="52" customWidth="1"/>
    <col min="11531" max="11531" width="18.28515625" style="52" bestFit="1" customWidth="1"/>
    <col min="11532" max="11532" width="10.85546875" style="52" bestFit="1" customWidth="1"/>
    <col min="11533" max="11533" width="10.7109375" style="52" bestFit="1" customWidth="1"/>
    <col min="11534" max="11534" width="13.85546875" style="52" customWidth="1"/>
    <col min="11535" max="11535" width="10.85546875" style="52" bestFit="1" customWidth="1"/>
    <col min="11536" max="11536" width="10.7109375" style="52" bestFit="1" customWidth="1"/>
    <col min="11537" max="11537" width="18" style="52" customWidth="1"/>
    <col min="11538" max="11538" width="13.140625" style="52" customWidth="1"/>
    <col min="11539" max="11539" width="16" style="52" customWidth="1"/>
    <col min="11540" max="11540" width="14.85546875" style="52" customWidth="1"/>
    <col min="11541" max="11541" width="15.28515625" style="52" customWidth="1"/>
    <col min="11542" max="11542" width="19.28515625" style="52" bestFit="1" customWidth="1"/>
    <col min="11543" max="11776" width="11.42578125" style="52"/>
    <col min="11777" max="11777" width="7.28515625" style="52" customWidth="1"/>
    <col min="11778" max="11779" width="11.28515625" style="52" bestFit="1" customWidth="1"/>
    <col min="11780" max="11780" width="9.7109375" style="52" customWidth="1"/>
    <col min="11781" max="11781" width="17.28515625" style="52" bestFit="1" customWidth="1"/>
    <col min="11782" max="11782" width="11" style="52" bestFit="1" customWidth="1"/>
    <col min="11783" max="11783" width="11.42578125" style="52"/>
    <col min="11784" max="11784" width="13.42578125" style="52" customWidth="1"/>
    <col min="11785" max="11785" width="15.28515625" style="52" customWidth="1"/>
    <col min="11786" max="11786" width="19.5703125" style="52" customWidth="1"/>
    <col min="11787" max="11787" width="18.28515625" style="52" bestFit="1" customWidth="1"/>
    <col min="11788" max="11788" width="10.85546875" style="52" bestFit="1" customWidth="1"/>
    <col min="11789" max="11789" width="10.7109375" style="52" bestFit="1" customWidth="1"/>
    <col min="11790" max="11790" width="13.85546875" style="52" customWidth="1"/>
    <col min="11791" max="11791" width="10.85546875" style="52" bestFit="1" customWidth="1"/>
    <col min="11792" max="11792" width="10.7109375" style="52" bestFit="1" customWidth="1"/>
    <col min="11793" max="11793" width="18" style="52" customWidth="1"/>
    <col min="11794" max="11794" width="13.140625" style="52" customWidth="1"/>
    <col min="11795" max="11795" width="16" style="52" customWidth="1"/>
    <col min="11796" max="11796" width="14.85546875" style="52" customWidth="1"/>
    <col min="11797" max="11797" width="15.28515625" style="52" customWidth="1"/>
    <col min="11798" max="11798" width="19.28515625" style="52" bestFit="1" customWidth="1"/>
    <col min="11799" max="12032" width="11.42578125" style="52"/>
    <col min="12033" max="12033" width="7.28515625" style="52" customWidth="1"/>
    <col min="12034" max="12035" width="11.28515625" style="52" bestFit="1" customWidth="1"/>
    <col min="12036" max="12036" width="9.7109375" style="52" customWidth="1"/>
    <col min="12037" max="12037" width="17.28515625" style="52" bestFit="1" customWidth="1"/>
    <col min="12038" max="12038" width="11" style="52" bestFit="1" customWidth="1"/>
    <col min="12039" max="12039" width="11.42578125" style="52"/>
    <col min="12040" max="12040" width="13.42578125" style="52" customWidth="1"/>
    <col min="12041" max="12041" width="15.28515625" style="52" customWidth="1"/>
    <col min="12042" max="12042" width="19.5703125" style="52" customWidth="1"/>
    <col min="12043" max="12043" width="18.28515625" style="52" bestFit="1" customWidth="1"/>
    <col min="12044" max="12044" width="10.85546875" style="52" bestFit="1" customWidth="1"/>
    <col min="12045" max="12045" width="10.7109375" style="52" bestFit="1" customWidth="1"/>
    <col min="12046" max="12046" width="13.85546875" style="52" customWidth="1"/>
    <col min="12047" max="12047" width="10.85546875" style="52" bestFit="1" customWidth="1"/>
    <col min="12048" max="12048" width="10.7109375" style="52" bestFit="1" customWidth="1"/>
    <col min="12049" max="12049" width="18" style="52" customWidth="1"/>
    <col min="12050" max="12050" width="13.140625" style="52" customWidth="1"/>
    <col min="12051" max="12051" width="16" style="52" customWidth="1"/>
    <col min="12052" max="12052" width="14.85546875" style="52" customWidth="1"/>
    <col min="12053" max="12053" width="15.28515625" style="52" customWidth="1"/>
    <col min="12054" max="12054" width="19.28515625" style="52" bestFit="1" customWidth="1"/>
    <col min="12055" max="12288" width="11.42578125" style="52"/>
    <col min="12289" max="12289" width="7.28515625" style="52" customWidth="1"/>
    <col min="12290" max="12291" width="11.28515625" style="52" bestFit="1" customWidth="1"/>
    <col min="12292" max="12292" width="9.7109375" style="52" customWidth="1"/>
    <col min="12293" max="12293" width="17.28515625" style="52" bestFit="1" customWidth="1"/>
    <col min="12294" max="12294" width="11" style="52" bestFit="1" customWidth="1"/>
    <col min="12295" max="12295" width="11.42578125" style="52"/>
    <col min="12296" max="12296" width="13.42578125" style="52" customWidth="1"/>
    <col min="12297" max="12297" width="15.28515625" style="52" customWidth="1"/>
    <col min="12298" max="12298" width="19.5703125" style="52" customWidth="1"/>
    <col min="12299" max="12299" width="18.28515625" style="52" bestFit="1" customWidth="1"/>
    <col min="12300" max="12300" width="10.85546875" style="52" bestFit="1" customWidth="1"/>
    <col min="12301" max="12301" width="10.7109375" style="52" bestFit="1" customWidth="1"/>
    <col min="12302" max="12302" width="13.85546875" style="52" customWidth="1"/>
    <col min="12303" max="12303" width="10.85546875" style="52" bestFit="1" customWidth="1"/>
    <col min="12304" max="12304" width="10.7109375" style="52" bestFit="1" customWidth="1"/>
    <col min="12305" max="12305" width="18" style="52" customWidth="1"/>
    <col min="12306" max="12306" width="13.140625" style="52" customWidth="1"/>
    <col min="12307" max="12307" width="16" style="52" customWidth="1"/>
    <col min="12308" max="12308" width="14.85546875" style="52" customWidth="1"/>
    <col min="12309" max="12309" width="15.28515625" style="52" customWidth="1"/>
    <col min="12310" max="12310" width="19.28515625" style="52" bestFit="1" customWidth="1"/>
    <col min="12311" max="12544" width="11.42578125" style="52"/>
    <col min="12545" max="12545" width="7.28515625" style="52" customWidth="1"/>
    <col min="12546" max="12547" width="11.28515625" style="52" bestFit="1" customWidth="1"/>
    <col min="12548" max="12548" width="9.7109375" style="52" customWidth="1"/>
    <col min="12549" max="12549" width="17.28515625" style="52" bestFit="1" customWidth="1"/>
    <col min="12550" max="12550" width="11" style="52" bestFit="1" customWidth="1"/>
    <col min="12551" max="12551" width="11.42578125" style="52"/>
    <col min="12552" max="12552" width="13.42578125" style="52" customWidth="1"/>
    <col min="12553" max="12553" width="15.28515625" style="52" customWidth="1"/>
    <col min="12554" max="12554" width="19.5703125" style="52" customWidth="1"/>
    <col min="12555" max="12555" width="18.28515625" style="52" bestFit="1" customWidth="1"/>
    <col min="12556" max="12556" width="10.85546875" style="52" bestFit="1" customWidth="1"/>
    <col min="12557" max="12557" width="10.7109375" style="52" bestFit="1" customWidth="1"/>
    <col min="12558" max="12558" width="13.85546875" style="52" customWidth="1"/>
    <col min="12559" max="12559" width="10.85546875" style="52" bestFit="1" customWidth="1"/>
    <col min="12560" max="12560" width="10.7109375" style="52" bestFit="1" customWidth="1"/>
    <col min="12561" max="12561" width="18" style="52" customWidth="1"/>
    <col min="12562" max="12562" width="13.140625" style="52" customWidth="1"/>
    <col min="12563" max="12563" width="16" style="52" customWidth="1"/>
    <col min="12564" max="12564" width="14.85546875" style="52" customWidth="1"/>
    <col min="12565" max="12565" width="15.28515625" style="52" customWidth="1"/>
    <col min="12566" max="12566" width="19.28515625" style="52" bestFit="1" customWidth="1"/>
    <col min="12567" max="12800" width="11.42578125" style="52"/>
    <col min="12801" max="12801" width="7.28515625" style="52" customWidth="1"/>
    <col min="12802" max="12803" width="11.28515625" style="52" bestFit="1" customWidth="1"/>
    <col min="12804" max="12804" width="9.7109375" style="52" customWidth="1"/>
    <col min="12805" max="12805" width="17.28515625" style="52" bestFit="1" customWidth="1"/>
    <col min="12806" max="12806" width="11" style="52" bestFit="1" customWidth="1"/>
    <col min="12807" max="12807" width="11.42578125" style="52"/>
    <col min="12808" max="12808" width="13.42578125" style="52" customWidth="1"/>
    <col min="12809" max="12809" width="15.28515625" style="52" customWidth="1"/>
    <col min="12810" max="12810" width="19.5703125" style="52" customWidth="1"/>
    <col min="12811" max="12811" width="18.28515625" style="52" bestFit="1" customWidth="1"/>
    <col min="12812" max="12812" width="10.85546875" style="52" bestFit="1" customWidth="1"/>
    <col min="12813" max="12813" width="10.7109375" style="52" bestFit="1" customWidth="1"/>
    <col min="12814" max="12814" width="13.85546875" style="52" customWidth="1"/>
    <col min="12815" max="12815" width="10.85546875" style="52" bestFit="1" customWidth="1"/>
    <col min="12816" max="12816" width="10.7109375" style="52" bestFit="1" customWidth="1"/>
    <col min="12817" max="12817" width="18" style="52" customWidth="1"/>
    <col min="12818" max="12818" width="13.140625" style="52" customWidth="1"/>
    <col min="12819" max="12819" width="16" style="52" customWidth="1"/>
    <col min="12820" max="12820" width="14.85546875" style="52" customWidth="1"/>
    <col min="12821" max="12821" width="15.28515625" style="52" customWidth="1"/>
    <col min="12822" max="12822" width="19.28515625" style="52" bestFit="1" customWidth="1"/>
    <col min="12823" max="13056" width="11.42578125" style="52"/>
    <col min="13057" max="13057" width="7.28515625" style="52" customWidth="1"/>
    <col min="13058" max="13059" width="11.28515625" style="52" bestFit="1" customWidth="1"/>
    <col min="13060" max="13060" width="9.7109375" style="52" customWidth="1"/>
    <col min="13061" max="13061" width="17.28515625" style="52" bestFit="1" customWidth="1"/>
    <col min="13062" max="13062" width="11" style="52" bestFit="1" customWidth="1"/>
    <col min="13063" max="13063" width="11.42578125" style="52"/>
    <col min="13064" max="13064" width="13.42578125" style="52" customWidth="1"/>
    <col min="13065" max="13065" width="15.28515625" style="52" customWidth="1"/>
    <col min="13066" max="13066" width="19.5703125" style="52" customWidth="1"/>
    <col min="13067" max="13067" width="18.28515625" style="52" bestFit="1" customWidth="1"/>
    <col min="13068" max="13068" width="10.85546875" style="52" bestFit="1" customWidth="1"/>
    <col min="13069" max="13069" width="10.7109375" style="52" bestFit="1" customWidth="1"/>
    <col min="13070" max="13070" width="13.85546875" style="52" customWidth="1"/>
    <col min="13071" max="13071" width="10.85546875" style="52" bestFit="1" customWidth="1"/>
    <col min="13072" max="13072" width="10.7109375" style="52" bestFit="1" customWidth="1"/>
    <col min="13073" max="13073" width="18" style="52" customWidth="1"/>
    <col min="13074" max="13074" width="13.140625" style="52" customWidth="1"/>
    <col min="13075" max="13075" width="16" style="52" customWidth="1"/>
    <col min="13076" max="13076" width="14.85546875" style="52" customWidth="1"/>
    <col min="13077" max="13077" width="15.28515625" style="52" customWidth="1"/>
    <col min="13078" max="13078" width="19.28515625" style="52" bestFit="1" customWidth="1"/>
    <col min="13079" max="13312" width="11.42578125" style="52"/>
    <col min="13313" max="13313" width="7.28515625" style="52" customWidth="1"/>
    <col min="13314" max="13315" width="11.28515625" style="52" bestFit="1" customWidth="1"/>
    <col min="13316" max="13316" width="9.7109375" style="52" customWidth="1"/>
    <col min="13317" max="13317" width="17.28515625" style="52" bestFit="1" customWidth="1"/>
    <col min="13318" max="13318" width="11" style="52" bestFit="1" customWidth="1"/>
    <col min="13319" max="13319" width="11.42578125" style="52"/>
    <col min="13320" max="13320" width="13.42578125" style="52" customWidth="1"/>
    <col min="13321" max="13321" width="15.28515625" style="52" customWidth="1"/>
    <col min="13322" max="13322" width="19.5703125" style="52" customWidth="1"/>
    <col min="13323" max="13323" width="18.28515625" style="52" bestFit="1" customWidth="1"/>
    <col min="13324" max="13324" width="10.85546875" style="52" bestFit="1" customWidth="1"/>
    <col min="13325" max="13325" width="10.7109375" style="52" bestFit="1" customWidth="1"/>
    <col min="13326" max="13326" width="13.85546875" style="52" customWidth="1"/>
    <col min="13327" max="13327" width="10.85546875" style="52" bestFit="1" customWidth="1"/>
    <col min="13328" max="13328" width="10.7109375" style="52" bestFit="1" customWidth="1"/>
    <col min="13329" max="13329" width="18" style="52" customWidth="1"/>
    <col min="13330" max="13330" width="13.140625" style="52" customWidth="1"/>
    <col min="13331" max="13331" width="16" style="52" customWidth="1"/>
    <col min="13332" max="13332" width="14.85546875" style="52" customWidth="1"/>
    <col min="13333" max="13333" width="15.28515625" style="52" customWidth="1"/>
    <col min="13334" max="13334" width="19.28515625" style="52" bestFit="1" customWidth="1"/>
    <col min="13335" max="13568" width="11.42578125" style="52"/>
    <col min="13569" max="13569" width="7.28515625" style="52" customWidth="1"/>
    <col min="13570" max="13571" width="11.28515625" style="52" bestFit="1" customWidth="1"/>
    <col min="13572" max="13572" width="9.7109375" style="52" customWidth="1"/>
    <col min="13573" max="13573" width="17.28515625" style="52" bestFit="1" customWidth="1"/>
    <col min="13574" max="13574" width="11" style="52" bestFit="1" customWidth="1"/>
    <col min="13575" max="13575" width="11.42578125" style="52"/>
    <col min="13576" max="13576" width="13.42578125" style="52" customWidth="1"/>
    <col min="13577" max="13577" width="15.28515625" style="52" customWidth="1"/>
    <col min="13578" max="13578" width="19.5703125" style="52" customWidth="1"/>
    <col min="13579" max="13579" width="18.28515625" style="52" bestFit="1" customWidth="1"/>
    <col min="13580" max="13580" width="10.85546875" style="52" bestFit="1" customWidth="1"/>
    <col min="13581" max="13581" width="10.7109375" style="52" bestFit="1" customWidth="1"/>
    <col min="13582" max="13582" width="13.85546875" style="52" customWidth="1"/>
    <col min="13583" max="13583" width="10.85546875" style="52" bestFit="1" customWidth="1"/>
    <col min="13584" max="13584" width="10.7109375" style="52" bestFit="1" customWidth="1"/>
    <col min="13585" max="13585" width="18" style="52" customWidth="1"/>
    <col min="13586" max="13586" width="13.140625" style="52" customWidth="1"/>
    <col min="13587" max="13587" width="16" style="52" customWidth="1"/>
    <col min="13588" max="13588" width="14.85546875" style="52" customWidth="1"/>
    <col min="13589" max="13589" width="15.28515625" style="52" customWidth="1"/>
    <col min="13590" max="13590" width="19.28515625" style="52" bestFit="1" customWidth="1"/>
    <col min="13591" max="13824" width="11.42578125" style="52"/>
    <col min="13825" max="13825" width="7.28515625" style="52" customWidth="1"/>
    <col min="13826" max="13827" width="11.28515625" style="52" bestFit="1" customWidth="1"/>
    <col min="13828" max="13828" width="9.7109375" style="52" customWidth="1"/>
    <col min="13829" max="13829" width="17.28515625" style="52" bestFit="1" customWidth="1"/>
    <col min="13830" max="13830" width="11" style="52" bestFit="1" customWidth="1"/>
    <col min="13831" max="13831" width="11.42578125" style="52"/>
    <col min="13832" max="13832" width="13.42578125" style="52" customWidth="1"/>
    <col min="13833" max="13833" width="15.28515625" style="52" customWidth="1"/>
    <col min="13834" max="13834" width="19.5703125" style="52" customWidth="1"/>
    <col min="13835" max="13835" width="18.28515625" style="52" bestFit="1" customWidth="1"/>
    <col min="13836" max="13836" width="10.85546875" style="52" bestFit="1" customWidth="1"/>
    <col min="13837" max="13837" width="10.7109375" style="52" bestFit="1" customWidth="1"/>
    <col min="13838" max="13838" width="13.85546875" style="52" customWidth="1"/>
    <col min="13839" max="13839" width="10.85546875" style="52" bestFit="1" customWidth="1"/>
    <col min="13840" max="13840" width="10.7109375" style="52" bestFit="1" customWidth="1"/>
    <col min="13841" max="13841" width="18" style="52" customWidth="1"/>
    <col min="13842" max="13842" width="13.140625" style="52" customWidth="1"/>
    <col min="13843" max="13843" width="16" style="52" customWidth="1"/>
    <col min="13844" max="13844" width="14.85546875" style="52" customWidth="1"/>
    <col min="13845" max="13845" width="15.28515625" style="52" customWidth="1"/>
    <col min="13846" max="13846" width="19.28515625" style="52" bestFit="1" customWidth="1"/>
    <col min="13847" max="14080" width="11.42578125" style="52"/>
    <col min="14081" max="14081" width="7.28515625" style="52" customWidth="1"/>
    <col min="14082" max="14083" width="11.28515625" style="52" bestFit="1" customWidth="1"/>
    <col min="14084" max="14084" width="9.7109375" style="52" customWidth="1"/>
    <col min="14085" max="14085" width="17.28515625" style="52" bestFit="1" customWidth="1"/>
    <col min="14086" max="14086" width="11" style="52" bestFit="1" customWidth="1"/>
    <col min="14087" max="14087" width="11.42578125" style="52"/>
    <col min="14088" max="14088" width="13.42578125" style="52" customWidth="1"/>
    <col min="14089" max="14089" width="15.28515625" style="52" customWidth="1"/>
    <col min="14090" max="14090" width="19.5703125" style="52" customWidth="1"/>
    <col min="14091" max="14091" width="18.28515625" style="52" bestFit="1" customWidth="1"/>
    <col min="14092" max="14092" width="10.85546875" style="52" bestFit="1" customWidth="1"/>
    <col min="14093" max="14093" width="10.7109375" style="52" bestFit="1" customWidth="1"/>
    <col min="14094" max="14094" width="13.85546875" style="52" customWidth="1"/>
    <col min="14095" max="14095" width="10.85546875" style="52" bestFit="1" customWidth="1"/>
    <col min="14096" max="14096" width="10.7109375" style="52" bestFit="1" customWidth="1"/>
    <col min="14097" max="14097" width="18" style="52" customWidth="1"/>
    <col min="14098" max="14098" width="13.140625" style="52" customWidth="1"/>
    <col min="14099" max="14099" width="16" style="52" customWidth="1"/>
    <col min="14100" max="14100" width="14.85546875" style="52" customWidth="1"/>
    <col min="14101" max="14101" width="15.28515625" style="52" customWidth="1"/>
    <col min="14102" max="14102" width="19.28515625" style="52" bestFit="1" customWidth="1"/>
    <col min="14103" max="14336" width="11.42578125" style="52"/>
    <col min="14337" max="14337" width="7.28515625" style="52" customWidth="1"/>
    <col min="14338" max="14339" width="11.28515625" style="52" bestFit="1" customWidth="1"/>
    <col min="14340" max="14340" width="9.7109375" style="52" customWidth="1"/>
    <col min="14341" max="14341" width="17.28515625" style="52" bestFit="1" customWidth="1"/>
    <col min="14342" max="14342" width="11" style="52" bestFit="1" customWidth="1"/>
    <col min="14343" max="14343" width="11.42578125" style="52"/>
    <col min="14344" max="14344" width="13.42578125" style="52" customWidth="1"/>
    <col min="14345" max="14345" width="15.28515625" style="52" customWidth="1"/>
    <col min="14346" max="14346" width="19.5703125" style="52" customWidth="1"/>
    <col min="14347" max="14347" width="18.28515625" style="52" bestFit="1" customWidth="1"/>
    <col min="14348" max="14348" width="10.85546875" style="52" bestFit="1" customWidth="1"/>
    <col min="14349" max="14349" width="10.7109375" style="52" bestFit="1" customWidth="1"/>
    <col min="14350" max="14350" width="13.85546875" style="52" customWidth="1"/>
    <col min="14351" max="14351" width="10.85546875" style="52" bestFit="1" customWidth="1"/>
    <col min="14352" max="14352" width="10.7109375" style="52" bestFit="1" customWidth="1"/>
    <col min="14353" max="14353" width="18" style="52" customWidth="1"/>
    <col min="14354" max="14354" width="13.140625" style="52" customWidth="1"/>
    <col min="14355" max="14355" width="16" style="52" customWidth="1"/>
    <col min="14356" max="14356" width="14.85546875" style="52" customWidth="1"/>
    <col min="14357" max="14357" width="15.28515625" style="52" customWidth="1"/>
    <col min="14358" max="14358" width="19.28515625" style="52" bestFit="1" customWidth="1"/>
    <col min="14359" max="14592" width="11.42578125" style="52"/>
    <col min="14593" max="14593" width="7.28515625" style="52" customWidth="1"/>
    <col min="14594" max="14595" width="11.28515625" style="52" bestFit="1" customWidth="1"/>
    <col min="14596" max="14596" width="9.7109375" style="52" customWidth="1"/>
    <col min="14597" max="14597" width="17.28515625" style="52" bestFit="1" customWidth="1"/>
    <col min="14598" max="14598" width="11" style="52" bestFit="1" customWidth="1"/>
    <col min="14599" max="14599" width="11.42578125" style="52"/>
    <col min="14600" max="14600" width="13.42578125" style="52" customWidth="1"/>
    <col min="14601" max="14601" width="15.28515625" style="52" customWidth="1"/>
    <col min="14602" max="14602" width="19.5703125" style="52" customWidth="1"/>
    <col min="14603" max="14603" width="18.28515625" style="52" bestFit="1" customWidth="1"/>
    <col min="14604" max="14604" width="10.85546875" style="52" bestFit="1" customWidth="1"/>
    <col min="14605" max="14605" width="10.7109375" style="52" bestFit="1" customWidth="1"/>
    <col min="14606" max="14606" width="13.85546875" style="52" customWidth="1"/>
    <col min="14607" max="14607" width="10.85546875" style="52" bestFit="1" customWidth="1"/>
    <col min="14608" max="14608" width="10.7109375" style="52" bestFit="1" customWidth="1"/>
    <col min="14609" max="14609" width="18" style="52" customWidth="1"/>
    <col min="14610" max="14610" width="13.140625" style="52" customWidth="1"/>
    <col min="14611" max="14611" width="16" style="52" customWidth="1"/>
    <col min="14612" max="14612" width="14.85546875" style="52" customWidth="1"/>
    <col min="14613" max="14613" width="15.28515625" style="52" customWidth="1"/>
    <col min="14614" max="14614" width="19.28515625" style="52" bestFit="1" customWidth="1"/>
    <col min="14615" max="14848" width="11.42578125" style="52"/>
    <col min="14849" max="14849" width="7.28515625" style="52" customWidth="1"/>
    <col min="14850" max="14851" width="11.28515625" style="52" bestFit="1" customWidth="1"/>
    <col min="14852" max="14852" width="9.7109375" style="52" customWidth="1"/>
    <col min="14853" max="14853" width="17.28515625" style="52" bestFit="1" customWidth="1"/>
    <col min="14854" max="14854" width="11" style="52" bestFit="1" customWidth="1"/>
    <col min="14855" max="14855" width="11.42578125" style="52"/>
    <col min="14856" max="14856" width="13.42578125" style="52" customWidth="1"/>
    <col min="14857" max="14857" width="15.28515625" style="52" customWidth="1"/>
    <col min="14858" max="14858" width="19.5703125" style="52" customWidth="1"/>
    <col min="14859" max="14859" width="18.28515625" style="52" bestFit="1" customWidth="1"/>
    <col min="14860" max="14860" width="10.85546875" style="52" bestFit="1" customWidth="1"/>
    <col min="14861" max="14861" width="10.7109375" style="52" bestFit="1" customWidth="1"/>
    <col min="14862" max="14862" width="13.85546875" style="52" customWidth="1"/>
    <col min="14863" max="14863" width="10.85546875" style="52" bestFit="1" customWidth="1"/>
    <col min="14864" max="14864" width="10.7109375" style="52" bestFit="1" customWidth="1"/>
    <col min="14865" max="14865" width="18" style="52" customWidth="1"/>
    <col min="14866" max="14866" width="13.140625" style="52" customWidth="1"/>
    <col min="14867" max="14867" width="16" style="52" customWidth="1"/>
    <col min="14868" max="14868" width="14.85546875" style="52" customWidth="1"/>
    <col min="14869" max="14869" width="15.28515625" style="52" customWidth="1"/>
    <col min="14870" max="14870" width="19.28515625" style="52" bestFit="1" customWidth="1"/>
    <col min="14871" max="15104" width="11.42578125" style="52"/>
    <col min="15105" max="15105" width="7.28515625" style="52" customWidth="1"/>
    <col min="15106" max="15107" width="11.28515625" style="52" bestFit="1" customWidth="1"/>
    <col min="15108" max="15108" width="9.7109375" style="52" customWidth="1"/>
    <col min="15109" max="15109" width="17.28515625" style="52" bestFit="1" customWidth="1"/>
    <col min="15110" max="15110" width="11" style="52" bestFit="1" customWidth="1"/>
    <col min="15111" max="15111" width="11.42578125" style="52"/>
    <col min="15112" max="15112" width="13.42578125" style="52" customWidth="1"/>
    <col min="15113" max="15113" width="15.28515625" style="52" customWidth="1"/>
    <col min="15114" max="15114" width="19.5703125" style="52" customWidth="1"/>
    <col min="15115" max="15115" width="18.28515625" style="52" bestFit="1" customWidth="1"/>
    <col min="15116" max="15116" width="10.85546875" style="52" bestFit="1" customWidth="1"/>
    <col min="15117" max="15117" width="10.7109375" style="52" bestFit="1" customWidth="1"/>
    <col min="15118" max="15118" width="13.85546875" style="52" customWidth="1"/>
    <col min="15119" max="15119" width="10.85546875" style="52" bestFit="1" customWidth="1"/>
    <col min="15120" max="15120" width="10.7109375" style="52" bestFit="1" customWidth="1"/>
    <col min="15121" max="15121" width="18" style="52" customWidth="1"/>
    <col min="15122" max="15122" width="13.140625" style="52" customWidth="1"/>
    <col min="15123" max="15123" width="16" style="52" customWidth="1"/>
    <col min="15124" max="15124" width="14.85546875" style="52" customWidth="1"/>
    <col min="15125" max="15125" width="15.28515625" style="52" customWidth="1"/>
    <col min="15126" max="15126" width="19.28515625" style="52" bestFit="1" customWidth="1"/>
    <col min="15127" max="15360" width="11.42578125" style="52"/>
    <col min="15361" max="15361" width="7.28515625" style="52" customWidth="1"/>
    <col min="15362" max="15363" width="11.28515625" style="52" bestFit="1" customWidth="1"/>
    <col min="15364" max="15364" width="9.7109375" style="52" customWidth="1"/>
    <col min="15365" max="15365" width="17.28515625" style="52" bestFit="1" customWidth="1"/>
    <col min="15366" max="15366" width="11" style="52" bestFit="1" customWidth="1"/>
    <col min="15367" max="15367" width="11.42578125" style="52"/>
    <col min="15368" max="15368" width="13.42578125" style="52" customWidth="1"/>
    <col min="15369" max="15369" width="15.28515625" style="52" customWidth="1"/>
    <col min="15370" max="15370" width="19.5703125" style="52" customWidth="1"/>
    <col min="15371" max="15371" width="18.28515625" style="52" bestFit="1" customWidth="1"/>
    <col min="15372" max="15372" width="10.85546875" style="52" bestFit="1" customWidth="1"/>
    <col min="15373" max="15373" width="10.7109375" style="52" bestFit="1" customWidth="1"/>
    <col min="15374" max="15374" width="13.85546875" style="52" customWidth="1"/>
    <col min="15375" max="15375" width="10.85546875" style="52" bestFit="1" customWidth="1"/>
    <col min="15376" max="15376" width="10.7109375" style="52" bestFit="1" customWidth="1"/>
    <col min="15377" max="15377" width="18" style="52" customWidth="1"/>
    <col min="15378" max="15378" width="13.140625" style="52" customWidth="1"/>
    <col min="15379" max="15379" width="16" style="52" customWidth="1"/>
    <col min="15380" max="15380" width="14.85546875" style="52" customWidth="1"/>
    <col min="15381" max="15381" width="15.28515625" style="52" customWidth="1"/>
    <col min="15382" max="15382" width="19.28515625" style="52" bestFit="1" customWidth="1"/>
    <col min="15383" max="15616" width="11.42578125" style="52"/>
    <col min="15617" max="15617" width="7.28515625" style="52" customWidth="1"/>
    <col min="15618" max="15619" width="11.28515625" style="52" bestFit="1" customWidth="1"/>
    <col min="15620" max="15620" width="9.7109375" style="52" customWidth="1"/>
    <col min="15621" max="15621" width="17.28515625" style="52" bestFit="1" customWidth="1"/>
    <col min="15622" max="15622" width="11" style="52" bestFit="1" customWidth="1"/>
    <col min="15623" max="15623" width="11.42578125" style="52"/>
    <col min="15624" max="15624" width="13.42578125" style="52" customWidth="1"/>
    <col min="15625" max="15625" width="15.28515625" style="52" customWidth="1"/>
    <col min="15626" max="15626" width="19.5703125" style="52" customWidth="1"/>
    <col min="15627" max="15627" width="18.28515625" style="52" bestFit="1" customWidth="1"/>
    <col min="15628" max="15628" width="10.85546875" style="52" bestFit="1" customWidth="1"/>
    <col min="15629" max="15629" width="10.7109375" style="52" bestFit="1" customWidth="1"/>
    <col min="15630" max="15630" width="13.85546875" style="52" customWidth="1"/>
    <col min="15631" max="15631" width="10.85546875" style="52" bestFit="1" customWidth="1"/>
    <col min="15632" max="15632" width="10.7109375" style="52" bestFit="1" customWidth="1"/>
    <col min="15633" max="15633" width="18" style="52" customWidth="1"/>
    <col min="15634" max="15634" width="13.140625" style="52" customWidth="1"/>
    <col min="15635" max="15635" width="16" style="52" customWidth="1"/>
    <col min="15636" max="15636" width="14.85546875" style="52" customWidth="1"/>
    <col min="15637" max="15637" width="15.28515625" style="52" customWidth="1"/>
    <col min="15638" max="15638" width="19.28515625" style="52" bestFit="1" customWidth="1"/>
    <col min="15639" max="15872" width="11.42578125" style="52"/>
    <col min="15873" max="15873" width="7.28515625" style="52" customWidth="1"/>
    <col min="15874" max="15875" width="11.28515625" style="52" bestFit="1" customWidth="1"/>
    <col min="15876" max="15876" width="9.7109375" style="52" customWidth="1"/>
    <col min="15877" max="15877" width="17.28515625" style="52" bestFit="1" customWidth="1"/>
    <col min="15878" max="15878" width="11" style="52" bestFit="1" customWidth="1"/>
    <col min="15879" max="15879" width="11.42578125" style="52"/>
    <col min="15880" max="15880" width="13.42578125" style="52" customWidth="1"/>
    <col min="15881" max="15881" width="15.28515625" style="52" customWidth="1"/>
    <col min="15882" max="15882" width="19.5703125" style="52" customWidth="1"/>
    <col min="15883" max="15883" width="18.28515625" style="52" bestFit="1" customWidth="1"/>
    <col min="15884" max="15884" width="10.85546875" style="52" bestFit="1" customWidth="1"/>
    <col min="15885" max="15885" width="10.7109375" style="52" bestFit="1" customWidth="1"/>
    <col min="15886" max="15886" width="13.85546875" style="52" customWidth="1"/>
    <col min="15887" max="15887" width="10.85546875" style="52" bestFit="1" customWidth="1"/>
    <col min="15888" max="15888" width="10.7109375" style="52" bestFit="1" customWidth="1"/>
    <col min="15889" max="15889" width="18" style="52" customWidth="1"/>
    <col min="15890" max="15890" width="13.140625" style="52" customWidth="1"/>
    <col min="15891" max="15891" width="16" style="52" customWidth="1"/>
    <col min="15892" max="15892" width="14.85546875" style="52" customWidth="1"/>
    <col min="15893" max="15893" width="15.28515625" style="52" customWidth="1"/>
    <col min="15894" max="15894" width="19.28515625" style="52" bestFit="1" customWidth="1"/>
    <col min="15895" max="16128" width="11.42578125" style="52"/>
    <col min="16129" max="16129" width="7.28515625" style="52" customWidth="1"/>
    <col min="16130" max="16131" width="11.28515625" style="52" bestFit="1" customWidth="1"/>
    <col min="16132" max="16132" width="9.7109375" style="52" customWidth="1"/>
    <col min="16133" max="16133" width="17.28515625" style="52" bestFit="1" customWidth="1"/>
    <col min="16134" max="16134" width="11" style="52" bestFit="1" customWidth="1"/>
    <col min="16135" max="16135" width="11.42578125" style="52"/>
    <col min="16136" max="16136" width="13.42578125" style="52" customWidth="1"/>
    <col min="16137" max="16137" width="15.28515625" style="52" customWidth="1"/>
    <col min="16138" max="16138" width="19.5703125" style="52" customWidth="1"/>
    <col min="16139" max="16139" width="18.28515625" style="52" bestFit="1" customWidth="1"/>
    <col min="16140" max="16140" width="10.85546875" style="52" bestFit="1" customWidth="1"/>
    <col min="16141" max="16141" width="10.7109375" style="52" bestFit="1" customWidth="1"/>
    <col min="16142" max="16142" width="13.85546875" style="52" customWidth="1"/>
    <col min="16143" max="16143" width="10.85546875" style="52" bestFit="1" customWidth="1"/>
    <col min="16144" max="16144" width="10.7109375" style="52" bestFit="1" customWidth="1"/>
    <col min="16145" max="16145" width="18" style="52" customWidth="1"/>
    <col min="16146" max="16146" width="13.140625" style="52" customWidth="1"/>
    <col min="16147" max="16147" width="16" style="52" customWidth="1"/>
    <col min="16148" max="16148" width="14.85546875" style="52" customWidth="1"/>
    <col min="16149" max="16149" width="15.28515625" style="52" customWidth="1"/>
    <col min="16150" max="16150" width="19.28515625" style="52" bestFit="1" customWidth="1"/>
    <col min="16151" max="16384" width="11.42578125" style="52"/>
  </cols>
  <sheetData>
    <row r="1" spans="1:22" ht="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spans="1:22" ht="15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</row>
    <row r="3" spans="1:22" ht="15">
      <c r="A3"/>
    </row>
    <row r="7" spans="1:22" ht="23.25">
      <c r="A7" s="148" t="s">
        <v>53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</row>
    <row r="8" spans="1:22">
      <c r="A8" s="150" t="s">
        <v>121</v>
      </c>
      <c r="B8" s="150"/>
      <c r="C8" s="150"/>
      <c r="D8" s="150"/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</row>
    <row r="9" spans="1:22">
      <c r="A9" s="152" t="s">
        <v>127</v>
      </c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</row>
    <row r="10" spans="1:22" ht="12.75" customHeight="1">
      <c r="J10" s="60"/>
      <c r="K10" s="60"/>
      <c r="L10" s="60"/>
      <c r="N10" s="60"/>
      <c r="O10" s="60"/>
      <c r="P10" s="60"/>
      <c r="Q10" s="60"/>
      <c r="R10" s="60"/>
      <c r="S10" s="60"/>
      <c r="T10" s="60"/>
      <c r="U10" s="60"/>
      <c r="V10" s="60"/>
    </row>
    <row r="11" spans="1:22" ht="12.75" customHeight="1">
      <c r="A11" s="151" t="s">
        <v>68</v>
      </c>
      <c r="B11" s="153" t="s">
        <v>69</v>
      </c>
      <c r="C11" s="153" t="s">
        <v>70</v>
      </c>
      <c r="D11" s="153" t="s">
        <v>71</v>
      </c>
      <c r="E11" s="154" t="s">
        <v>72</v>
      </c>
      <c r="F11" s="154" t="s">
        <v>73</v>
      </c>
      <c r="G11" s="154" t="s">
        <v>74</v>
      </c>
      <c r="H11" s="157" t="s">
        <v>75</v>
      </c>
      <c r="I11" s="153" t="s">
        <v>76</v>
      </c>
      <c r="J11" s="160" t="s">
        <v>77</v>
      </c>
      <c r="K11" s="161" t="s">
        <v>78</v>
      </c>
      <c r="L11" s="161"/>
      <c r="M11" s="161"/>
      <c r="N11" s="161"/>
      <c r="O11" s="161"/>
      <c r="P11" s="161"/>
      <c r="Q11" s="161"/>
      <c r="R11" s="151" t="s">
        <v>79</v>
      </c>
      <c r="S11" s="151"/>
      <c r="T11" s="151" t="s">
        <v>80</v>
      </c>
      <c r="U11" s="151" t="s">
        <v>81</v>
      </c>
    </row>
    <row r="12" spans="1:22" ht="12.75" customHeight="1">
      <c r="A12" s="151"/>
      <c r="B12" s="153"/>
      <c r="C12" s="153"/>
      <c r="D12" s="153"/>
      <c r="E12" s="155"/>
      <c r="F12" s="155"/>
      <c r="G12" s="155"/>
      <c r="H12" s="158"/>
      <c r="I12" s="153"/>
      <c r="J12" s="160"/>
      <c r="K12" s="151" t="s">
        <v>82</v>
      </c>
      <c r="L12" s="151"/>
      <c r="M12" s="151" t="s">
        <v>83</v>
      </c>
      <c r="N12" s="151" t="s">
        <v>84</v>
      </c>
      <c r="O12" s="151"/>
      <c r="P12" s="151" t="s">
        <v>85</v>
      </c>
      <c r="Q12" s="151" t="s">
        <v>86</v>
      </c>
      <c r="R12" s="151" t="s">
        <v>87</v>
      </c>
      <c r="S12" s="151" t="s">
        <v>88</v>
      </c>
      <c r="T12" s="151"/>
      <c r="U12" s="151"/>
    </row>
    <row r="13" spans="1:22" ht="25.5">
      <c r="A13" s="151"/>
      <c r="B13" s="153"/>
      <c r="C13" s="153"/>
      <c r="D13" s="153"/>
      <c r="E13" s="156"/>
      <c r="F13" s="156"/>
      <c r="G13" s="156"/>
      <c r="H13" s="159"/>
      <c r="I13" s="117" t="s">
        <v>89</v>
      </c>
      <c r="J13" s="160"/>
      <c r="K13" s="116" t="s">
        <v>90</v>
      </c>
      <c r="L13" s="116" t="s">
        <v>91</v>
      </c>
      <c r="M13" s="151"/>
      <c r="N13" s="116" t="s">
        <v>92</v>
      </c>
      <c r="O13" s="116" t="s">
        <v>93</v>
      </c>
      <c r="P13" s="151"/>
      <c r="Q13" s="151"/>
      <c r="R13" s="151"/>
      <c r="S13" s="151"/>
      <c r="T13" s="151"/>
      <c r="U13" s="151"/>
    </row>
    <row r="14" spans="1:22" ht="15">
      <c r="A14" s="61">
        <v>1</v>
      </c>
      <c r="B14" s="54" t="s">
        <v>58</v>
      </c>
      <c r="C14" s="54" t="s">
        <v>99</v>
      </c>
      <c r="D14" s="63" t="s">
        <v>100</v>
      </c>
      <c r="E14" s="55" t="s">
        <v>60</v>
      </c>
      <c r="F14" s="56" t="s">
        <v>59</v>
      </c>
      <c r="G14" s="65" t="s">
        <v>96</v>
      </c>
      <c r="H14" s="75" t="s">
        <v>103</v>
      </c>
      <c r="I14" s="57">
        <v>45306</v>
      </c>
      <c r="J14" s="58">
        <v>20000</v>
      </c>
      <c r="K14" s="67"/>
      <c r="L14" s="67"/>
      <c r="M14" s="68"/>
      <c r="N14" s="67"/>
      <c r="O14" s="67"/>
      <c r="P14" s="69"/>
      <c r="Q14" s="67"/>
      <c r="R14" s="67"/>
      <c r="S14" s="67"/>
      <c r="T14" s="67"/>
      <c r="U14" s="70"/>
    </row>
    <row r="15" spans="1:22" ht="15">
      <c r="A15" s="61">
        <v>2</v>
      </c>
      <c r="B15" s="54" t="s">
        <v>382</v>
      </c>
      <c r="C15" s="54" t="s">
        <v>383</v>
      </c>
      <c r="D15" s="71" t="s">
        <v>384</v>
      </c>
      <c r="E15" s="54" t="s">
        <v>62</v>
      </c>
      <c r="F15" s="54" t="s">
        <v>61</v>
      </c>
      <c r="G15" s="65" t="s">
        <v>96</v>
      </c>
      <c r="H15" s="75">
        <v>11</v>
      </c>
      <c r="I15" s="57">
        <v>45870</v>
      </c>
      <c r="J15" s="59">
        <v>10000</v>
      </c>
      <c r="K15" s="67"/>
      <c r="L15" s="67"/>
      <c r="M15" s="68"/>
      <c r="N15" s="67"/>
      <c r="O15" s="67"/>
      <c r="P15" s="69"/>
      <c r="Q15" s="67"/>
      <c r="R15" s="67"/>
      <c r="S15" s="67"/>
      <c r="T15" s="67"/>
      <c r="U15" s="70"/>
    </row>
    <row r="16" spans="1:22" ht="15">
      <c r="A16" s="61">
        <v>4</v>
      </c>
      <c r="B16" s="54" t="s">
        <v>122</v>
      </c>
      <c r="C16" s="54" t="s">
        <v>123</v>
      </c>
      <c r="D16" s="71" t="s">
        <v>124</v>
      </c>
      <c r="E16" s="54" t="s">
        <v>64</v>
      </c>
      <c r="F16" s="54" t="s">
        <v>63</v>
      </c>
      <c r="G16" s="65" t="s">
        <v>96</v>
      </c>
      <c r="H16" s="75" t="s">
        <v>98</v>
      </c>
      <c r="I16" s="57">
        <v>45931</v>
      </c>
      <c r="J16" s="59">
        <v>12000</v>
      </c>
      <c r="K16" s="67"/>
      <c r="L16" s="67"/>
      <c r="M16" s="68"/>
      <c r="N16" s="67"/>
      <c r="O16" s="67"/>
      <c r="P16" s="69"/>
      <c r="Q16" s="67"/>
      <c r="R16" s="67"/>
      <c r="S16" s="67"/>
      <c r="T16" s="67"/>
      <c r="U16" s="70"/>
    </row>
    <row r="17" spans="1:22" ht="22.5">
      <c r="A17" s="61">
        <v>5</v>
      </c>
      <c r="B17" s="62" t="s">
        <v>54</v>
      </c>
      <c r="C17" s="54" t="s">
        <v>94</v>
      </c>
      <c r="D17" s="63" t="s">
        <v>95</v>
      </c>
      <c r="E17" s="55" t="s">
        <v>55</v>
      </c>
      <c r="F17" s="64" t="s">
        <v>56</v>
      </c>
      <c r="G17" s="65" t="s">
        <v>96</v>
      </c>
      <c r="H17" s="66" t="s">
        <v>97</v>
      </c>
      <c r="I17" s="57">
        <v>44502</v>
      </c>
      <c r="J17" s="95">
        <v>15000</v>
      </c>
      <c r="K17" s="67"/>
      <c r="L17" s="67"/>
      <c r="M17" s="68"/>
      <c r="N17" s="67"/>
      <c r="O17" s="67"/>
      <c r="P17" s="69"/>
      <c r="Q17" s="67"/>
      <c r="R17" s="67"/>
      <c r="S17" s="67"/>
      <c r="T17" s="67"/>
      <c r="U17" s="70"/>
    </row>
    <row r="18" spans="1:22" ht="15">
      <c r="A18" s="61">
        <v>6</v>
      </c>
      <c r="B18" s="54" t="s">
        <v>65</v>
      </c>
      <c r="C18" s="54" t="s">
        <v>101</v>
      </c>
      <c r="D18" s="71" t="s">
        <v>102</v>
      </c>
      <c r="E18" s="54" t="s">
        <v>67</v>
      </c>
      <c r="F18" s="54" t="s">
        <v>66</v>
      </c>
      <c r="G18" s="65" t="s">
        <v>96</v>
      </c>
      <c r="H18" s="75" t="s">
        <v>103</v>
      </c>
      <c r="I18" s="57">
        <v>45307</v>
      </c>
      <c r="J18" s="59">
        <v>18000</v>
      </c>
      <c r="K18" s="67"/>
      <c r="L18" s="67"/>
      <c r="M18" s="68"/>
      <c r="N18" s="67"/>
      <c r="O18" s="67"/>
      <c r="P18" s="69"/>
      <c r="Q18" s="67"/>
      <c r="R18" s="67"/>
      <c r="S18" s="67"/>
      <c r="T18" s="67"/>
      <c r="U18" s="70"/>
    </row>
    <row r="19" spans="1:22">
      <c r="A19" s="118"/>
      <c r="B19" s="72"/>
      <c r="C19" s="72"/>
      <c r="D19" s="72"/>
      <c r="E19" s="72"/>
      <c r="F19" s="72"/>
      <c r="G19" s="72"/>
      <c r="H19" s="72"/>
      <c r="I19" s="72"/>
      <c r="J19" s="73">
        <f t="shared" ref="J19:T19" si="0">SUM(J14:J18)</f>
        <v>75000</v>
      </c>
      <c r="K19" s="74">
        <f t="shared" si="0"/>
        <v>0</v>
      </c>
      <c r="L19" s="74">
        <f t="shared" si="0"/>
        <v>0</v>
      </c>
      <c r="M19" s="74">
        <f t="shared" si="0"/>
        <v>0</v>
      </c>
      <c r="N19" s="74">
        <f t="shared" si="0"/>
        <v>0</v>
      </c>
      <c r="O19" s="74">
        <f t="shared" si="0"/>
        <v>0</v>
      </c>
      <c r="P19" s="74">
        <f t="shared" si="0"/>
        <v>0</v>
      </c>
      <c r="Q19" s="74">
        <f t="shared" si="0"/>
        <v>0</v>
      </c>
      <c r="R19" s="74">
        <f t="shared" si="0"/>
        <v>0</v>
      </c>
      <c r="S19" s="74">
        <f t="shared" si="0"/>
        <v>0</v>
      </c>
      <c r="T19" s="74">
        <f t="shared" si="0"/>
        <v>0</v>
      </c>
      <c r="U19" s="74"/>
    </row>
    <row r="23" spans="1:22">
      <c r="K23" s="52" t="s">
        <v>57</v>
      </c>
    </row>
    <row r="25" spans="1:22">
      <c r="B25" s="52" t="s">
        <v>104</v>
      </c>
      <c r="F25" s="52" t="s">
        <v>125</v>
      </c>
      <c r="L25" s="52" t="s">
        <v>105</v>
      </c>
    </row>
    <row r="26" spans="1:22" ht="25.5">
      <c r="A26" s="76"/>
      <c r="B26" s="76" t="s">
        <v>106</v>
      </c>
      <c r="C26" s="76"/>
      <c r="D26" s="76"/>
      <c r="E26" s="76"/>
      <c r="F26" s="119" t="s">
        <v>126</v>
      </c>
      <c r="G26" s="119" t="s">
        <v>107</v>
      </c>
      <c r="H26" s="76" t="s">
        <v>57</v>
      </c>
      <c r="I26" s="76"/>
      <c r="J26" s="76"/>
      <c r="K26" s="76"/>
      <c r="L26" s="76" t="s">
        <v>108</v>
      </c>
      <c r="M26" s="76"/>
      <c r="N26" s="76"/>
      <c r="O26" s="76"/>
      <c r="P26" s="76"/>
      <c r="Q26" s="76"/>
      <c r="R26" s="77"/>
      <c r="S26" s="76"/>
      <c r="T26" s="76"/>
      <c r="U26" s="76"/>
      <c r="V26" s="76"/>
    </row>
    <row r="28" spans="1:22" ht="12.75" hidden="1" customHeight="1"/>
  </sheetData>
  <mergeCells count="24">
    <mergeCell ref="T11:T13"/>
    <mergeCell ref="U11:U13"/>
    <mergeCell ref="N12:O12"/>
    <mergeCell ref="Q12:Q13"/>
    <mergeCell ref="R12:R13"/>
    <mergeCell ref="S12:S13"/>
    <mergeCell ref="R11:S11"/>
    <mergeCell ref="F11:F13"/>
    <mergeCell ref="H11:H13"/>
    <mergeCell ref="I11:I12"/>
    <mergeCell ref="J11:J13"/>
    <mergeCell ref="K11:Q11"/>
    <mergeCell ref="A7:V7"/>
    <mergeCell ref="A8:V8"/>
    <mergeCell ref="K12:L12"/>
    <mergeCell ref="M12:M13"/>
    <mergeCell ref="A9:V9"/>
    <mergeCell ref="A11:A13"/>
    <mergeCell ref="B11:B13"/>
    <mergeCell ref="C11:C13"/>
    <mergeCell ref="D11:D13"/>
    <mergeCell ref="G11:G13"/>
    <mergeCell ref="P12:P13"/>
    <mergeCell ref="E11:E13"/>
  </mergeCells>
  <dataValidations count="1">
    <dataValidation allowBlank="1" showInputMessage="1" showErrorMessage="1" promptTitle="Grupo" prompt="Escribalo en Romano I-II-III-IV ó V" sqref="H15"/>
  </dataValidations>
  <pageMargins left="0.7" right="0.7" top="0.75" bottom="0.75" header="0.3" footer="0.3"/>
  <pageSetup scale="82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65"/>
  <sheetViews>
    <sheetView workbookViewId="0">
      <selection sqref="A1:J171"/>
    </sheetView>
  </sheetViews>
  <sheetFormatPr baseColWidth="10" defaultRowHeight="15"/>
  <cols>
    <col min="1" max="1" width="5.85546875" customWidth="1"/>
    <col min="2" max="2" width="42.140625" customWidth="1"/>
    <col min="3" max="3" width="47.85546875" bestFit="1" customWidth="1"/>
    <col min="5" max="7" width="12.42578125" bestFit="1" customWidth="1"/>
    <col min="8" max="8" width="13.28515625" bestFit="1" customWidth="1"/>
    <col min="9" max="9" width="17.7109375" customWidth="1"/>
  </cols>
  <sheetData>
    <row r="2" spans="1:9" ht="21">
      <c r="A2" s="96" t="s">
        <v>128</v>
      </c>
      <c r="B2" s="96"/>
      <c r="C2" s="96"/>
      <c r="D2" s="96"/>
      <c r="E2" s="96"/>
      <c r="F2" s="96"/>
      <c r="G2" s="96"/>
      <c r="H2" s="96"/>
      <c r="I2" s="96"/>
    </row>
    <row r="3" spans="1:9" ht="15.75">
      <c r="A3" s="97" t="s">
        <v>129</v>
      </c>
      <c r="B3" s="97"/>
      <c r="C3" s="97"/>
      <c r="D3" s="97"/>
      <c r="E3" s="97"/>
      <c r="F3" s="97"/>
      <c r="G3" s="97"/>
      <c r="H3" s="97"/>
      <c r="I3" s="97"/>
    </row>
    <row r="4" spans="1:9" ht="15.75">
      <c r="A4" s="110" t="s">
        <v>130</v>
      </c>
      <c r="B4" s="98"/>
      <c r="C4" s="98"/>
      <c r="D4" s="98"/>
      <c r="E4" s="98"/>
      <c r="F4" s="98"/>
      <c r="G4" s="98"/>
      <c r="H4" s="98"/>
      <c r="I4" s="98"/>
    </row>
    <row r="6" spans="1:9">
      <c r="A6" t="s">
        <v>57</v>
      </c>
    </row>
    <row r="7" spans="1:9">
      <c r="B7" s="99"/>
    </row>
    <row r="8" spans="1:9" ht="45">
      <c r="A8" s="100" t="s">
        <v>131</v>
      </c>
      <c r="B8" s="100" t="s">
        <v>132</v>
      </c>
      <c r="C8" s="100" t="s">
        <v>133</v>
      </c>
      <c r="D8" s="100" t="s">
        <v>134</v>
      </c>
      <c r="E8" s="100" t="s">
        <v>135</v>
      </c>
      <c r="F8" s="100" t="s">
        <v>373</v>
      </c>
      <c r="G8" s="100" t="s">
        <v>374</v>
      </c>
      <c r="H8" s="100" t="s">
        <v>386</v>
      </c>
      <c r="I8" s="100" t="s">
        <v>136</v>
      </c>
    </row>
    <row r="9" spans="1:9">
      <c r="A9" s="111">
        <v>1</v>
      </c>
      <c r="B9" s="101" t="s">
        <v>137</v>
      </c>
      <c r="C9" s="102" t="s">
        <v>138</v>
      </c>
      <c r="D9" s="112" t="s">
        <v>139</v>
      </c>
      <c r="E9" s="103">
        <v>471750</v>
      </c>
      <c r="F9" s="103">
        <v>0</v>
      </c>
      <c r="G9" s="103"/>
      <c r="H9" s="103"/>
      <c r="I9" s="103">
        <f>SUM(E9:H9)</f>
        <v>471750</v>
      </c>
    </row>
    <row r="10" spans="1:9">
      <c r="A10" s="111">
        <f>SUM(1+A9)</f>
        <v>2</v>
      </c>
      <c r="B10" s="101" t="s">
        <v>140</v>
      </c>
      <c r="C10" s="102" t="s">
        <v>141</v>
      </c>
      <c r="D10" s="112" t="s">
        <v>139</v>
      </c>
      <c r="E10" s="103">
        <f>128775.72-5782-7285.32</f>
        <v>115708.4</v>
      </c>
      <c r="F10" s="103">
        <v>0</v>
      </c>
      <c r="G10" s="103"/>
      <c r="H10" s="103"/>
      <c r="I10" s="103">
        <f t="shared" ref="I10:I73" si="0">SUM(E10:H10)</f>
        <v>115708.4</v>
      </c>
    </row>
    <row r="11" spans="1:9">
      <c r="A11" s="111">
        <f t="shared" ref="A11:A74" si="1">SUM(1+A10)</f>
        <v>3</v>
      </c>
      <c r="B11" s="101" t="s">
        <v>142</v>
      </c>
      <c r="C11" s="102" t="s">
        <v>143</v>
      </c>
      <c r="D11" s="112" t="s">
        <v>139</v>
      </c>
      <c r="E11" s="103">
        <v>135264.57999999999</v>
      </c>
      <c r="F11" s="103">
        <v>0</v>
      </c>
      <c r="G11" s="103"/>
      <c r="H11" s="103"/>
      <c r="I11" s="103">
        <f t="shared" si="0"/>
        <v>135264.57999999999</v>
      </c>
    </row>
    <row r="12" spans="1:9">
      <c r="A12" s="111">
        <f t="shared" si="1"/>
        <v>4</v>
      </c>
      <c r="B12" s="101" t="s">
        <v>144</v>
      </c>
      <c r="C12" s="102" t="s">
        <v>145</v>
      </c>
      <c r="D12" s="112" t="s">
        <v>139</v>
      </c>
      <c r="E12" s="103">
        <v>42240</v>
      </c>
      <c r="F12" s="103">
        <v>0</v>
      </c>
      <c r="G12" s="103"/>
      <c r="H12" s="103"/>
      <c r="I12" s="103">
        <f t="shared" si="0"/>
        <v>42240</v>
      </c>
    </row>
    <row r="13" spans="1:9">
      <c r="A13" s="111">
        <f t="shared" si="1"/>
        <v>5</v>
      </c>
      <c r="B13" s="101" t="s">
        <v>146</v>
      </c>
      <c r="C13" s="102" t="s">
        <v>145</v>
      </c>
      <c r="D13" s="112" t="s">
        <v>139</v>
      </c>
      <c r="E13" s="103">
        <v>123786</v>
      </c>
      <c r="F13" s="103">
        <v>0</v>
      </c>
      <c r="G13" s="103"/>
      <c r="H13" s="103"/>
      <c r="I13" s="103">
        <f t="shared" si="0"/>
        <v>123786</v>
      </c>
    </row>
    <row r="14" spans="1:9">
      <c r="A14" s="111">
        <f t="shared" si="1"/>
        <v>6</v>
      </c>
      <c r="B14" s="101" t="s">
        <v>147</v>
      </c>
      <c r="C14" s="102" t="s">
        <v>148</v>
      </c>
      <c r="D14" s="112" t="s">
        <v>139</v>
      </c>
      <c r="E14" s="103">
        <v>87036.4</v>
      </c>
      <c r="F14" s="103">
        <v>0</v>
      </c>
      <c r="G14" s="103"/>
      <c r="H14" s="103"/>
      <c r="I14" s="103">
        <f t="shared" si="0"/>
        <v>87036.4</v>
      </c>
    </row>
    <row r="15" spans="1:9">
      <c r="A15" s="111">
        <f t="shared" si="1"/>
        <v>7</v>
      </c>
      <c r="B15" s="101" t="s">
        <v>149</v>
      </c>
      <c r="C15" s="102" t="s">
        <v>150</v>
      </c>
      <c r="D15" s="112" t="s">
        <v>139</v>
      </c>
      <c r="E15" s="103">
        <v>51212</v>
      </c>
      <c r="F15" s="103">
        <v>0</v>
      </c>
      <c r="G15" s="103"/>
      <c r="H15" s="103"/>
      <c r="I15" s="103">
        <f t="shared" si="0"/>
        <v>51212</v>
      </c>
    </row>
    <row r="16" spans="1:9">
      <c r="A16" s="111">
        <f t="shared" si="1"/>
        <v>8</v>
      </c>
      <c r="B16" s="101" t="s">
        <v>151</v>
      </c>
      <c r="C16" s="102" t="s">
        <v>152</v>
      </c>
      <c r="D16" s="112" t="s">
        <v>139</v>
      </c>
      <c r="E16" s="103">
        <v>625243.25</v>
      </c>
      <c r="F16" s="103">
        <v>0</v>
      </c>
      <c r="G16" s="103"/>
      <c r="H16" s="103"/>
      <c r="I16" s="103">
        <f t="shared" si="0"/>
        <v>625243.25</v>
      </c>
    </row>
    <row r="17" spans="1:9">
      <c r="A17" s="111">
        <f t="shared" si="1"/>
        <v>9</v>
      </c>
      <c r="B17" s="101" t="s">
        <v>153</v>
      </c>
      <c r="C17" s="102" t="s">
        <v>154</v>
      </c>
      <c r="D17" s="112" t="s">
        <v>139</v>
      </c>
      <c r="E17" s="103">
        <v>32630</v>
      </c>
      <c r="F17" s="103">
        <v>0</v>
      </c>
      <c r="G17" s="103"/>
      <c r="H17" s="103"/>
      <c r="I17" s="103">
        <f t="shared" si="0"/>
        <v>32630</v>
      </c>
    </row>
    <row r="18" spans="1:9">
      <c r="A18" s="111">
        <f t="shared" si="1"/>
        <v>10</v>
      </c>
      <c r="B18" s="101" t="s">
        <v>155</v>
      </c>
      <c r="C18" s="102" t="s">
        <v>156</v>
      </c>
      <c r="D18" s="112" t="s">
        <v>139</v>
      </c>
      <c r="E18" s="103">
        <v>45215</v>
      </c>
      <c r="F18" s="103">
        <v>0</v>
      </c>
      <c r="G18" s="103"/>
      <c r="H18" s="103"/>
      <c r="I18" s="103">
        <f t="shared" si="0"/>
        <v>45215</v>
      </c>
    </row>
    <row r="19" spans="1:9">
      <c r="A19" s="111">
        <f t="shared" si="1"/>
        <v>11</v>
      </c>
      <c r="B19" s="101" t="s">
        <v>157</v>
      </c>
      <c r="C19" s="102" t="s">
        <v>158</v>
      </c>
      <c r="D19" s="112" t="s">
        <v>139</v>
      </c>
      <c r="E19" s="103">
        <v>147968.25</v>
      </c>
      <c r="F19" s="103">
        <v>0</v>
      </c>
      <c r="G19" s="103"/>
      <c r="H19" s="103"/>
      <c r="I19" s="103">
        <f t="shared" si="0"/>
        <v>147968.25</v>
      </c>
    </row>
    <row r="20" spans="1:9">
      <c r="A20" s="111">
        <f t="shared" si="1"/>
        <v>12</v>
      </c>
      <c r="B20" s="101" t="s">
        <v>159</v>
      </c>
      <c r="C20" s="102" t="s">
        <v>160</v>
      </c>
      <c r="D20" s="112" t="s">
        <v>139</v>
      </c>
      <c r="E20" s="103">
        <v>59883.28</v>
      </c>
      <c r="F20" s="103">
        <v>0</v>
      </c>
      <c r="G20" s="103"/>
      <c r="H20" s="103"/>
      <c r="I20" s="103">
        <f t="shared" si="0"/>
        <v>59883.28</v>
      </c>
    </row>
    <row r="21" spans="1:9">
      <c r="A21" s="111">
        <f t="shared" si="1"/>
        <v>13</v>
      </c>
      <c r="B21" s="101" t="s">
        <v>161</v>
      </c>
      <c r="C21" s="102" t="s">
        <v>162</v>
      </c>
      <c r="D21" s="112" t="s">
        <v>139</v>
      </c>
      <c r="E21" s="103">
        <v>135016.78</v>
      </c>
      <c r="F21" s="103">
        <v>0</v>
      </c>
      <c r="G21" s="103"/>
      <c r="H21" s="103"/>
      <c r="I21" s="103">
        <f t="shared" si="0"/>
        <v>135016.78</v>
      </c>
    </row>
    <row r="22" spans="1:9">
      <c r="A22" s="111">
        <f t="shared" si="1"/>
        <v>14</v>
      </c>
      <c r="B22" s="101" t="s">
        <v>163</v>
      </c>
      <c r="C22" s="102" t="s">
        <v>164</v>
      </c>
      <c r="D22" s="112" t="s">
        <v>139</v>
      </c>
      <c r="E22" s="103">
        <v>1400</v>
      </c>
      <c r="F22" s="103">
        <v>0</v>
      </c>
      <c r="G22" s="103"/>
      <c r="H22" s="103"/>
      <c r="I22" s="103">
        <f t="shared" si="0"/>
        <v>1400</v>
      </c>
    </row>
    <row r="23" spans="1:9">
      <c r="A23" s="111">
        <f t="shared" si="1"/>
        <v>15</v>
      </c>
      <c r="B23" s="101" t="s">
        <v>165</v>
      </c>
      <c r="C23" s="102" t="s">
        <v>166</v>
      </c>
      <c r="D23" s="112" t="s">
        <v>139</v>
      </c>
      <c r="E23" s="103">
        <v>44000</v>
      </c>
      <c r="F23" s="103">
        <v>0</v>
      </c>
      <c r="G23" s="103"/>
      <c r="H23" s="103"/>
      <c r="I23" s="103">
        <f t="shared" si="0"/>
        <v>44000</v>
      </c>
    </row>
    <row r="24" spans="1:9">
      <c r="A24" s="111">
        <f t="shared" si="1"/>
        <v>16</v>
      </c>
      <c r="B24" s="101" t="s">
        <v>167</v>
      </c>
      <c r="C24" s="102" t="s">
        <v>168</v>
      </c>
      <c r="D24" s="112" t="s">
        <v>139</v>
      </c>
      <c r="E24" s="103">
        <v>22840</v>
      </c>
      <c r="F24" s="103">
        <v>0</v>
      </c>
      <c r="G24" s="103"/>
      <c r="H24" s="103"/>
      <c r="I24" s="103">
        <f t="shared" si="0"/>
        <v>22840</v>
      </c>
    </row>
    <row r="25" spans="1:9">
      <c r="A25" s="111">
        <f t="shared" si="1"/>
        <v>17</v>
      </c>
      <c r="B25" s="101" t="s">
        <v>169</v>
      </c>
      <c r="C25" s="102" t="s">
        <v>170</v>
      </c>
      <c r="D25" s="112" t="s">
        <v>139</v>
      </c>
      <c r="E25" s="103">
        <v>5664</v>
      </c>
      <c r="F25" s="103">
        <v>0</v>
      </c>
      <c r="G25" s="103"/>
      <c r="H25" s="103"/>
      <c r="I25" s="103">
        <f t="shared" si="0"/>
        <v>5664</v>
      </c>
    </row>
    <row r="26" spans="1:9">
      <c r="A26" s="111">
        <f t="shared" si="1"/>
        <v>18</v>
      </c>
      <c r="B26" s="101" t="s">
        <v>171</v>
      </c>
      <c r="C26" s="102" t="s">
        <v>156</v>
      </c>
      <c r="D26" s="112" t="s">
        <v>139</v>
      </c>
      <c r="E26" s="103">
        <v>120200</v>
      </c>
      <c r="F26" s="103">
        <v>0</v>
      </c>
      <c r="G26" s="103"/>
      <c r="H26" s="103"/>
      <c r="I26" s="103">
        <f t="shared" si="0"/>
        <v>120200</v>
      </c>
    </row>
    <row r="27" spans="1:9">
      <c r="A27" s="111">
        <f t="shared" si="1"/>
        <v>19</v>
      </c>
      <c r="B27" s="101" t="s">
        <v>172</v>
      </c>
      <c r="C27" s="102" t="s">
        <v>156</v>
      </c>
      <c r="D27" s="112" t="s">
        <v>139</v>
      </c>
      <c r="E27" s="103">
        <v>55530</v>
      </c>
      <c r="F27" s="103">
        <v>0</v>
      </c>
      <c r="G27" s="103"/>
      <c r="H27" s="103"/>
      <c r="I27" s="103">
        <f t="shared" si="0"/>
        <v>55530</v>
      </c>
    </row>
    <row r="28" spans="1:9">
      <c r="A28" s="111">
        <f t="shared" si="1"/>
        <v>20</v>
      </c>
      <c r="B28" s="101" t="s">
        <v>173</v>
      </c>
      <c r="C28" s="102" t="s">
        <v>174</v>
      </c>
      <c r="D28" s="112" t="s">
        <v>139</v>
      </c>
      <c r="E28" s="103">
        <v>0</v>
      </c>
      <c r="F28" s="103">
        <v>0</v>
      </c>
      <c r="G28" s="103"/>
      <c r="H28" s="103"/>
      <c r="I28" s="103">
        <f t="shared" si="0"/>
        <v>0</v>
      </c>
    </row>
    <row r="29" spans="1:9">
      <c r="A29" s="111">
        <f t="shared" si="1"/>
        <v>21</v>
      </c>
      <c r="B29" s="101" t="s">
        <v>175</v>
      </c>
      <c r="C29" s="102" t="s">
        <v>141</v>
      </c>
      <c r="D29" s="112" t="s">
        <v>139</v>
      </c>
      <c r="E29" s="103">
        <f>2559045.23-65552.3+65552.3-65552.3-87403.08-65552.3-43701.53-43386.45-84537.23-42268.62-79627.11-41150.78+22638.26-22638.26-22638.26+20529.13-20529.13-20529.13+41058.27-41058.27-41058.27+41058.27-61726.17-20529.13+20529.13-20529.13-20529.13+47706.56-47706.56+85280.23-85280.23-82301.56-41150.78-41058.27</f>
        <v>1695403.4000000004</v>
      </c>
      <c r="F29" s="103">
        <f>375819.23-24991.1-21850.77-21850.77-25463.65-21850.77-23055.07-21850.77-83419.4</f>
        <v>131486.92999999996</v>
      </c>
      <c r="G29" s="103">
        <v>24259.37</v>
      </c>
      <c r="H29" s="103">
        <f>22897.55+21850.77+22897.55</f>
        <v>67645.87</v>
      </c>
      <c r="I29" s="103">
        <f t="shared" si="0"/>
        <v>1918795.5700000003</v>
      </c>
    </row>
    <row r="30" spans="1:9">
      <c r="A30" s="111">
        <f t="shared" si="1"/>
        <v>22</v>
      </c>
      <c r="B30" s="101" t="s">
        <v>176</v>
      </c>
      <c r="C30" s="102" t="s">
        <v>177</v>
      </c>
      <c r="D30" s="112" t="s">
        <v>139</v>
      </c>
      <c r="E30" s="103">
        <v>0</v>
      </c>
      <c r="F30" s="103">
        <f>404489.15-28814.76-323125.39-15000-7549</f>
        <v>30000</v>
      </c>
      <c r="G30" s="103">
        <v>1135723.6100000001</v>
      </c>
      <c r="H30" s="103"/>
      <c r="I30" s="103">
        <f t="shared" si="0"/>
        <v>1165723.6100000001</v>
      </c>
    </row>
    <row r="31" spans="1:9">
      <c r="A31" s="111">
        <f t="shared" si="1"/>
        <v>23</v>
      </c>
      <c r="B31" s="101" t="s">
        <v>178</v>
      </c>
      <c r="C31" s="102" t="s">
        <v>179</v>
      </c>
      <c r="D31" s="112" t="s">
        <v>139</v>
      </c>
      <c r="E31" s="103">
        <v>0</v>
      </c>
      <c r="F31" s="103">
        <v>0</v>
      </c>
      <c r="G31" s="103"/>
      <c r="H31" s="103"/>
      <c r="I31" s="103">
        <f t="shared" si="0"/>
        <v>0</v>
      </c>
    </row>
    <row r="32" spans="1:9">
      <c r="A32" s="111">
        <f t="shared" si="1"/>
        <v>24</v>
      </c>
      <c r="B32" s="101" t="s">
        <v>180</v>
      </c>
      <c r="C32" s="102" t="s">
        <v>138</v>
      </c>
      <c r="D32" s="112" t="s">
        <v>139</v>
      </c>
      <c r="E32" s="103">
        <f>3240-3240</f>
        <v>0</v>
      </c>
      <c r="F32" s="103">
        <f>432156.9-161368-57956-212832.9</f>
        <v>0</v>
      </c>
      <c r="G32" s="103">
        <f>98090-98090+279450.55+149160-149160+33920-33920</f>
        <v>279450.55</v>
      </c>
      <c r="H32" s="103">
        <f>120048.3+45585+19785</f>
        <v>185418.3</v>
      </c>
      <c r="I32" s="103">
        <f t="shared" si="0"/>
        <v>464868.85</v>
      </c>
    </row>
    <row r="33" spans="1:9">
      <c r="A33" s="111">
        <f t="shared" si="1"/>
        <v>25</v>
      </c>
      <c r="B33" s="101" t="s">
        <v>181</v>
      </c>
      <c r="C33" s="102" t="s">
        <v>179</v>
      </c>
      <c r="D33" s="112" t="s">
        <v>139</v>
      </c>
      <c r="E33" s="103">
        <v>0</v>
      </c>
      <c r="F33" s="103">
        <v>0</v>
      </c>
      <c r="G33" s="103">
        <v>2775.36</v>
      </c>
      <c r="H33" s="103"/>
      <c r="I33" s="103">
        <f t="shared" si="0"/>
        <v>2775.36</v>
      </c>
    </row>
    <row r="34" spans="1:9">
      <c r="A34" s="111">
        <f t="shared" si="1"/>
        <v>26</v>
      </c>
      <c r="B34" s="101" t="s">
        <v>182</v>
      </c>
      <c r="C34" s="102" t="s">
        <v>138</v>
      </c>
      <c r="D34" s="112" t="s">
        <v>139</v>
      </c>
      <c r="E34" s="103">
        <v>0</v>
      </c>
      <c r="F34" s="103">
        <v>0</v>
      </c>
      <c r="G34" s="103">
        <f>251600-251600</f>
        <v>0</v>
      </c>
      <c r="H34" s="103">
        <v>431190</v>
      </c>
      <c r="I34" s="103">
        <f t="shared" si="0"/>
        <v>431190</v>
      </c>
    </row>
    <row r="35" spans="1:9">
      <c r="A35" s="111">
        <f t="shared" si="1"/>
        <v>27</v>
      </c>
      <c r="B35" s="101" t="s">
        <v>183</v>
      </c>
      <c r="C35" s="102" t="s">
        <v>184</v>
      </c>
      <c r="D35" s="112" t="s">
        <v>139</v>
      </c>
      <c r="E35" s="103">
        <v>0</v>
      </c>
      <c r="F35" s="103">
        <f>18075-18075</f>
        <v>0</v>
      </c>
      <c r="G35" s="103"/>
      <c r="H35" s="103"/>
      <c r="I35" s="103">
        <f t="shared" si="0"/>
        <v>0</v>
      </c>
    </row>
    <row r="36" spans="1:9">
      <c r="A36" s="111">
        <f t="shared" si="1"/>
        <v>28</v>
      </c>
      <c r="B36" s="101" t="s">
        <v>185</v>
      </c>
      <c r="C36" s="102" t="s">
        <v>186</v>
      </c>
      <c r="D36" s="112" t="s">
        <v>139</v>
      </c>
      <c r="E36" s="103">
        <v>0</v>
      </c>
      <c r="F36" s="103">
        <v>0</v>
      </c>
      <c r="G36" s="103"/>
      <c r="H36" s="103"/>
      <c r="I36" s="103">
        <f t="shared" si="0"/>
        <v>0</v>
      </c>
    </row>
    <row r="37" spans="1:9">
      <c r="A37" s="111">
        <f t="shared" si="1"/>
        <v>29</v>
      </c>
      <c r="B37" s="101" t="s">
        <v>187</v>
      </c>
      <c r="C37" s="102" t="s">
        <v>179</v>
      </c>
      <c r="D37" s="112" t="s">
        <v>139</v>
      </c>
      <c r="E37" s="103">
        <v>0</v>
      </c>
      <c r="F37" s="103">
        <v>0</v>
      </c>
      <c r="G37" s="103"/>
      <c r="H37" s="103"/>
      <c r="I37" s="103">
        <f t="shared" si="0"/>
        <v>0</v>
      </c>
    </row>
    <row r="38" spans="1:9">
      <c r="A38" s="111">
        <f t="shared" si="1"/>
        <v>30</v>
      </c>
      <c r="B38" s="101" t="s">
        <v>188</v>
      </c>
      <c r="C38" s="102" t="s">
        <v>189</v>
      </c>
      <c r="D38" s="112" t="s">
        <v>139</v>
      </c>
      <c r="E38" s="103">
        <v>0</v>
      </c>
      <c r="F38" s="103">
        <v>0</v>
      </c>
      <c r="G38" s="103"/>
      <c r="H38" s="103">
        <v>489924</v>
      </c>
      <c r="I38" s="103">
        <f t="shared" si="0"/>
        <v>489924</v>
      </c>
    </row>
    <row r="39" spans="1:9">
      <c r="A39" s="111">
        <f t="shared" si="1"/>
        <v>31</v>
      </c>
      <c r="B39" s="101" t="s">
        <v>190</v>
      </c>
      <c r="C39" s="102" t="s">
        <v>191</v>
      </c>
      <c r="D39" s="112" t="s">
        <v>139</v>
      </c>
      <c r="E39" s="103">
        <v>0</v>
      </c>
      <c r="F39" s="103">
        <v>0</v>
      </c>
      <c r="G39" s="103"/>
      <c r="H39" s="103"/>
      <c r="I39" s="103">
        <f t="shared" si="0"/>
        <v>0</v>
      </c>
    </row>
    <row r="40" spans="1:9">
      <c r="A40" s="111">
        <f t="shared" si="1"/>
        <v>32</v>
      </c>
      <c r="B40" s="101" t="s">
        <v>192</v>
      </c>
      <c r="C40" s="102" t="s">
        <v>193</v>
      </c>
      <c r="D40" s="112" t="s">
        <v>139</v>
      </c>
      <c r="E40" s="103">
        <v>22656</v>
      </c>
      <c r="F40" s="103">
        <v>0</v>
      </c>
      <c r="G40" s="103"/>
      <c r="H40" s="103"/>
      <c r="I40" s="103">
        <f t="shared" si="0"/>
        <v>22656</v>
      </c>
    </row>
    <row r="41" spans="1:9">
      <c r="A41" s="111">
        <f t="shared" si="1"/>
        <v>33</v>
      </c>
      <c r="B41" s="101" t="s">
        <v>194</v>
      </c>
      <c r="C41" s="102" t="s">
        <v>195</v>
      </c>
      <c r="D41" s="112" t="s">
        <v>139</v>
      </c>
      <c r="E41" s="103">
        <v>0</v>
      </c>
      <c r="F41" s="103">
        <v>0</v>
      </c>
      <c r="G41" s="103"/>
      <c r="H41" s="103">
        <v>173589.8</v>
      </c>
      <c r="I41" s="103">
        <f t="shared" si="0"/>
        <v>173589.8</v>
      </c>
    </row>
    <row r="42" spans="1:9">
      <c r="A42" s="111">
        <f t="shared" si="1"/>
        <v>34</v>
      </c>
      <c r="B42" s="101" t="s">
        <v>196</v>
      </c>
      <c r="C42" s="102" t="s">
        <v>197</v>
      </c>
      <c r="D42" s="112" t="s">
        <v>139</v>
      </c>
      <c r="E42" s="103">
        <v>0</v>
      </c>
      <c r="F42" s="103">
        <f>286413-286413</f>
        <v>0</v>
      </c>
      <c r="G42" s="103"/>
      <c r="H42" s="103">
        <f>322854.05-322854.05+310917</f>
        <v>310917</v>
      </c>
      <c r="I42" s="103">
        <f t="shared" si="0"/>
        <v>310917</v>
      </c>
    </row>
    <row r="43" spans="1:9">
      <c r="A43" s="111">
        <f t="shared" si="1"/>
        <v>35</v>
      </c>
      <c r="B43" s="101" t="s">
        <v>198</v>
      </c>
      <c r="C43" s="102" t="s">
        <v>179</v>
      </c>
      <c r="D43" s="112" t="s">
        <v>139</v>
      </c>
      <c r="E43" s="103">
        <v>0</v>
      </c>
      <c r="F43" s="103">
        <f>31500-31500</f>
        <v>0</v>
      </c>
      <c r="G43" s="103"/>
      <c r="H43" s="103"/>
      <c r="I43" s="103">
        <f t="shared" si="0"/>
        <v>0</v>
      </c>
    </row>
    <row r="44" spans="1:9">
      <c r="A44" s="111">
        <f t="shared" si="1"/>
        <v>36</v>
      </c>
      <c r="B44" s="101" t="s">
        <v>199</v>
      </c>
      <c r="C44" s="102" t="s">
        <v>191</v>
      </c>
      <c r="D44" s="112" t="s">
        <v>139</v>
      </c>
      <c r="E44" s="103">
        <v>0</v>
      </c>
      <c r="F44" s="103">
        <v>0</v>
      </c>
      <c r="G44" s="103"/>
      <c r="H44" s="103"/>
      <c r="I44" s="103">
        <f t="shared" si="0"/>
        <v>0</v>
      </c>
    </row>
    <row r="45" spans="1:9">
      <c r="A45" s="111">
        <f t="shared" si="1"/>
        <v>37</v>
      </c>
      <c r="B45" s="101" t="s">
        <v>200</v>
      </c>
      <c r="C45" s="102" t="s">
        <v>191</v>
      </c>
      <c r="D45" s="112" t="s">
        <v>139</v>
      </c>
      <c r="E45" s="103">
        <v>0</v>
      </c>
      <c r="F45" s="103">
        <v>0</v>
      </c>
      <c r="G45" s="103"/>
      <c r="H45" s="103"/>
      <c r="I45" s="103">
        <f t="shared" si="0"/>
        <v>0</v>
      </c>
    </row>
    <row r="46" spans="1:9">
      <c r="A46" s="111">
        <f t="shared" si="1"/>
        <v>38</v>
      </c>
      <c r="B46" s="101" t="s">
        <v>201</v>
      </c>
      <c r="C46" s="102" t="s">
        <v>202</v>
      </c>
      <c r="D46" s="112" t="s">
        <v>139</v>
      </c>
      <c r="E46" s="103">
        <v>-2.9103830456733704E-11</v>
      </c>
      <c r="F46" s="103">
        <v>0</v>
      </c>
      <c r="G46" s="103"/>
      <c r="H46" s="103"/>
      <c r="I46" s="103">
        <f t="shared" si="0"/>
        <v>-2.9103830456733704E-11</v>
      </c>
    </row>
    <row r="47" spans="1:9">
      <c r="A47" s="111">
        <f t="shared" si="1"/>
        <v>39</v>
      </c>
      <c r="B47" s="101" t="s">
        <v>203</v>
      </c>
      <c r="C47" s="102" t="s">
        <v>179</v>
      </c>
      <c r="D47" s="112" t="s">
        <v>139</v>
      </c>
      <c r="E47" s="103">
        <v>0</v>
      </c>
      <c r="F47" s="103">
        <v>0</v>
      </c>
      <c r="G47" s="103"/>
      <c r="H47" s="103"/>
      <c r="I47" s="103">
        <f t="shared" si="0"/>
        <v>0</v>
      </c>
    </row>
    <row r="48" spans="1:9">
      <c r="A48" s="111">
        <f t="shared" si="1"/>
        <v>40</v>
      </c>
      <c r="B48" s="101" t="s">
        <v>204</v>
      </c>
      <c r="C48" s="102" t="s">
        <v>205</v>
      </c>
      <c r="D48" s="112" t="s">
        <v>139</v>
      </c>
      <c r="E48" s="103">
        <v>0</v>
      </c>
      <c r="F48" s="103">
        <f>100000-100000</f>
        <v>0</v>
      </c>
      <c r="G48" s="103">
        <f>115000-115000+86500-86500</f>
        <v>0</v>
      </c>
      <c r="H48" s="103">
        <f>395500-395500+115000+31500</f>
        <v>146500</v>
      </c>
      <c r="I48" s="103">
        <f t="shared" si="0"/>
        <v>146500</v>
      </c>
    </row>
    <row r="49" spans="1:9">
      <c r="A49" s="111">
        <f t="shared" si="1"/>
        <v>41</v>
      </c>
      <c r="B49" s="101" t="s">
        <v>206</v>
      </c>
      <c r="C49" s="102" t="s">
        <v>207</v>
      </c>
      <c r="D49" s="112" t="s">
        <v>139</v>
      </c>
      <c r="E49" s="103">
        <v>0</v>
      </c>
      <c r="F49" s="103">
        <v>0</v>
      </c>
      <c r="G49" s="103"/>
      <c r="H49" s="103"/>
      <c r="I49" s="103">
        <f t="shared" si="0"/>
        <v>0</v>
      </c>
    </row>
    <row r="50" spans="1:9">
      <c r="A50" s="111">
        <f t="shared" si="1"/>
        <v>42</v>
      </c>
      <c r="B50" s="101" t="s">
        <v>208</v>
      </c>
      <c r="C50" s="102" t="s">
        <v>179</v>
      </c>
      <c r="D50" s="112" t="s">
        <v>139</v>
      </c>
      <c r="E50" s="103">
        <v>0</v>
      </c>
      <c r="F50" s="103">
        <f>97500-97500+80033.5-80033.5</f>
        <v>0</v>
      </c>
      <c r="G50" s="103"/>
      <c r="H50" s="103"/>
      <c r="I50" s="103">
        <f t="shared" si="0"/>
        <v>0</v>
      </c>
    </row>
    <row r="51" spans="1:9">
      <c r="A51" s="111">
        <f t="shared" si="1"/>
        <v>43</v>
      </c>
      <c r="B51" s="101" t="s">
        <v>209</v>
      </c>
      <c r="C51" s="102" t="s">
        <v>210</v>
      </c>
      <c r="D51" s="112" t="s">
        <v>139</v>
      </c>
      <c r="E51" s="103">
        <v>0</v>
      </c>
      <c r="F51" s="103">
        <v>0</v>
      </c>
      <c r="G51" s="103"/>
      <c r="H51" s="103"/>
      <c r="I51" s="103">
        <f t="shared" si="0"/>
        <v>0</v>
      </c>
    </row>
    <row r="52" spans="1:9">
      <c r="A52" s="111">
        <f t="shared" si="1"/>
        <v>44</v>
      </c>
      <c r="B52" s="101" t="s">
        <v>211</v>
      </c>
      <c r="C52" s="102" t="s">
        <v>212</v>
      </c>
      <c r="D52" s="112" t="s">
        <v>139</v>
      </c>
      <c r="E52" s="103">
        <v>0</v>
      </c>
      <c r="F52" s="103">
        <v>0</v>
      </c>
      <c r="G52" s="103"/>
      <c r="H52" s="103"/>
      <c r="I52" s="103">
        <f t="shared" si="0"/>
        <v>0</v>
      </c>
    </row>
    <row r="53" spans="1:9">
      <c r="A53" s="111">
        <f t="shared" si="1"/>
        <v>45</v>
      </c>
      <c r="B53" s="101" t="s">
        <v>213</v>
      </c>
      <c r="C53" s="102" t="s">
        <v>214</v>
      </c>
      <c r="D53" s="112" t="s">
        <v>139</v>
      </c>
      <c r="E53" s="103">
        <f>25193-25193</f>
        <v>0</v>
      </c>
      <c r="F53" s="103">
        <v>0</v>
      </c>
      <c r="G53" s="103">
        <v>148934.04</v>
      </c>
      <c r="H53" s="103"/>
      <c r="I53" s="103">
        <f t="shared" si="0"/>
        <v>148934.04</v>
      </c>
    </row>
    <row r="54" spans="1:9">
      <c r="A54" s="111">
        <f t="shared" si="1"/>
        <v>46</v>
      </c>
      <c r="B54" s="101" t="s">
        <v>215</v>
      </c>
      <c r="C54" s="102" t="s">
        <v>216</v>
      </c>
      <c r="D54" s="112" t="s">
        <v>139</v>
      </c>
      <c r="E54" s="103">
        <v>0</v>
      </c>
      <c r="F54" s="103">
        <v>0</v>
      </c>
      <c r="G54" s="103"/>
      <c r="H54" s="103"/>
      <c r="I54" s="103">
        <f t="shared" si="0"/>
        <v>0</v>
      </c>
    </row>
    <row r="55" spans="1:9">
      <c r="A55" s="111">
        <f t="shared" si="1"/>
        <v>47</v>
      </c>
      <c r="B55" s="101" t="s">
        <v>217</v>
      </c>
      <c r="C55" s="102" t="s">
        <v>216</v>
      </c>
      <c r="D55" s="112" t="s">
        <v>139</v>
      </c>
      <c r="E55" s="103">
        <v>0</v>
      </c>
      <c r="F55" s="103">
        <f>99922.4-51471.6-6726-32497.2-9227.6</f>
        <v>0</v>
      </c>
      <c r="G55" s="103">
        <v>11900.3</v>
      </c>
      <c r="H55" s="103"/>
      <c r="I55" s="103">
        <f t="shared" si="0"/>
        <v>11900.3</v>
      </c>
    </row>
    <row r="56" spans="1:9">
      <c r="A56" s="111">
        <f t="shared" si="1"/>
        <v>48</v>
      </c>
      <c r="B56" s="101" t="s">
        <v>218</v>
      </c>
      <c r="C56" s="102" t="s">
        <v>219</v>
      </c>
      <c r="D56" s="112" t="s">
        <v>139</v>
      </c>
      <c r="E56" s="103">
        <v>5.8207660913467407E-11</v>
      </c>
      <c r="F56" s="103">
        <v>0</v>
      </c>
      <c r="G56" s="103"/>
      <c r="H56" s="103"/>
      <c r="I56" s="103">
        <f t="shared" si="0"/>
        <v>5.8207660913467407E-11</v>
      </c>
    </row>
    <row r="57" spans="1:9">
      <c r="A57" s="111">
        <f t="shared" si="1"/>
        <v>49</v>
      </c>
      <c r="B57" s="101" t="s">
        <v>220</v>
      </c>
      <c r="C57" s="102" t="s">
        <v>221</v>
      </c>
      <c r="D57" s="112" t="s">
        <v>139</v>
      </c>
      <c r="E57" s="103">
        <v>0</v>
      </c>
      <c r="F57" s="103">
        <f>146315.01-11030</f>
        <v>135285.01</v>
      </c>
      <c r="G57" s="103"/>
      <c r="H57" s="103">
        <v>6295</v>
      </c>
      <c r="I57" s="103">
        <f t="shared" si="0"/>
        <v>141580.01</v>
      </c>
    </row>
    <row r="58" spans="1:9">
      <c r="A58" s="111">
        <f t="shared" si="1"/>
        <v>50</v>
      </c>
      <c r="B58" s="101" t="s">
        <v>222</v>
      </c>
      <c r="C58" s="102" t="s">
        <v>179</v>
      </c>
      <c r="D58" s="112" t="s">
        <v>139</v>
      </c>
      <c r="E58" s="103">
        <v>0</v>
      </c>
      <c r="F58" s="103">
        <v>0</v>
      </c>
      <c r="G58" s="103"/>
      <c r="H58" s="103"/>
      <c r="I58" s="103">
        <f t="shared" si="0"/>
        <v>0</v>
      </c>
    </row>
    <row r="59" spans="1:9">
      <c r="A59" s="111">
        <f t="shared" si="1"/>
        <v>51</v>
      </c>
      <c r="B59" s="101" t="s">
        <v>223</v>
      </c>
      <c r="C59" s="102" t="s">
        <v>179</v>
      </c>
      <c r="D59" s="112" t="s">
        <v>139</v>
      </c>
      <c r="E59" s="103">
        <v>0</v>
      </c>
      <c r="F59" s="103">
        <f>159500-15000-144500</f>
        <v>0</v>
      </c>
      <c r="G59" s="103"/>
      <c r="H59" s="103"/>
      <c r="I59" s="103">
        <f t="shared" si="0"/>
        <v>0</v>
      </c>
    </row>
    <row r="60" spans="1:9">
      <c r="A60" s="111">
        <f t="shared" si="1"/>
        <v>52</v>
      </c>
      <c r="B60" s="101" t="s">
        <v>224</v>
      </c>
      <c r="C60" s="102" t="s">
        <v>225</v>
      </c>
      <c r="D60" s="112" t="s">
        <v>139</v>
      </c>
      <c r="E60" s="103">
        <v>0</v>
      </c>
      <c r="F60" s="103">
        <v>0</v>
      </c>
      <c r="G60" s="103"/>
      <c r="H60" s="103"/>
      <c r="I60" s="103">
        <f t="shared" si="0"/>
        <v>0</v>
      </c>
    </row>
    <row r="61" spans="1:9">
      <c r="A61" s="111">
        <f t="shared" si="1"/>
        <v>53</v>
      </c>
      <c r="B61" s="101" t="s">
        <v>226</v>
      </c>
      <c r="C61" s="102" t="s">
        <v>179</v>
      </c>
      <c r="D61" s="112" t="s">
        <v>139</v>
      </c>
      <c r="E61" s="103">
        <v>0</v>
      </c>
      <c r="F61" s="103">
        <v>0</v>
      </c>
      <c r="G61" s="103"/>
      <c r="H61" s="103"/>
      <c r="I61" s="103">
        <f t="shared" si="0"/>
        <v>0</v>
      </c>
    </row>
    <row r="62" spans="1:9">
      <c r="A62" s="111">
        <f t="shared" si="1"/>
        <v>54</v>
      </c>
      <c r="B62" s="101" t="s">
        <v>227</v>
      </c>
      <c r="C62" s="102" t="s">
        <v>228</v>
      </c>
      <c r="D62" s="112" t="s">
        <v>139</v>
      </c>
      <c r="E62" s="103">
        <v>0</v>
      </c>
      <c r="F62" s="103">
        <v>0</v>
      </c>
      <c r="G62" s="103"/>
      <c r="H62" s="103"/>
      <c r="I62" s="103">
        <f t="shared" si="0"/>
        <v>0</v>
      </c>
    </row>
    <row r="63" spans="1:9">
      <c r="A63" s="111">
        <f t="shared" si="1"/>
        <v>55</v>
      </c>
      <c r="B63" s="101" t="s">
        <v>229</v>
      </c>
      <c r="C63" s="102" t="s">
        <v>179</v>
      </c>
      <c r="D63" s="112" t="s">
        <v>139</v>
      </c>
      <c r="E63" s="103">
        <v>0</v>
      </c>
      <c r="F63" s="103">
        <v>0</v>
      </c>
      <c r="G63" s="103"/>
      <c r="H63" s="103"/>
      <c r="I63" s="103">
        <f t="shared" si="0"/>
        <v>0</v>
      </c>
    </row>
    <row r="64" spans="1:9">
      <c r="A64" s="111">
        <f t="shared" si="1"/>
        <v>56</v>
      </c>
      <c r="B64" s="101" t="s">
        <v>230</v>
      </c>
      <c r="C64" s="102" t="s">
        <v>231</v>
      </c>
      <c r="D64" s="112" t="s">
        <v>139</v>
      </c>
      <c r="E64" s="103">
        <v>0</v>
      </c>
      <c r="F64" s="103">
        <v>0</v>
      </c>
      <c r="G64" s="103"/>
      <c r="H64" s="103"/>
      <c r="I64" s="103">
        <f t="shared" si="0"/>
        <v>0</v>
      </c>
    </row>
    <row r="65" spans="1:9">
      <c r="A65" s="111">
        <f t="shared" si="1"/>
        <v>57</v>
      </c>
      <c r="B65" s="101" t="s">
        <v>232</v>
      </c>
      <c r="C65" s="102" t="s">
        <v>233</v>
      </c>
      <c r="D65" s="112" t="s">
        <v>139</v>
      </c>
      <c r="E65" s="103">
        <v>0</v>
      </c>
      <c r="F65" s="103">
        <f>52490-7500-22850-22140</f>
        <v>0</v>
      </c>
      <c r="G65" s="103">
        <f>16500+25160</f>
        <v>41660</v>
      </c>
      <c r="H65" s="103">
        <f>20550+10500</f>
        <v>31050</v>
      </c>
      <c r="I65" s="103">
        <f t="shared" si="0"/>
        <v>72710</v>
      </c>
    </row>
    <row r="66" spans="1:9">
      <c r="A66" s="111">
        <f t="shared" si="1"/>
        <v>58</v>
      </c>
      <c r="B66" s="101" t="s">
        <v>234</v>
      </c>
      <c r="C66" s="102" t="s">
        <v>179</v>
      </c>
      <c r="D66" s="112" t="s">
        <v>139</v>
      </c>
      <c r="E66" s="103">
        <v>0</v>
      </c>
      <c r="F66" s="103">
        <v>6960</v>
      </c>
      <c r="G66" s="103"/>
      <c r="H66" s="103"/>
      <c r="I66" s="103">
        <f t="shared" si="0"/>
        <v>6960</v>
      </c>
    </row>
    <row r="67" spans="1:9">
      <c r="A67" s="111">
        <f t="shared" si="1"/>
        <v>59</v>
      </c>
      <c r="B67" s="101" t="s">
        <v>235</v>
      </c>
      <c r="C67" s="102" t="s">
        <v>236</v>
      </c>
      <c r="D67" s="112" t="s">
        <v>139</v>
      </c>
      <c r="E67" s="103">
        <v>0</v>
      </c>
      <c r="F67" s="103">
        <v>0</v>
      </c>
      <c r="G67" s="103"/>
      <c r="H67" s="103"/>
      <c r="I67" s="103">
        <f t="shared" si="0"/>
        <v>0</v>
      </c>
    </row>
    <row r="68" spans="1:9">
      <c r="A68" s="111">
        <f t="shared" si="1"/>
        <v>60</v>
      </c>
      <c r="B68" s="101" t="s">
        <v>237</v>
      </c>
      <c r="C68" s="102" t="s">
        <v>238</v>
      </c>
      <c r="D68" s="112" t="s">
        <v>139</v>
      </c>
      <c r="E68" s="103">
        <v>0</v>
      </c>
      <c r="F68" s="103">
        <v>0</v>
      </c>
      <c r="G68" s="103"/>
      <c r="H68" s="103"/>
      <c r="I68" s="103">
        <f t="shared" si="0"/>
        <v>0</v>
      </c>
    </row>
    <row r="69" spans="1:9">
      <c r="A69" s="111">
        <f t="shared" si="1"/>
        <v>61</v>
      </c>
      <c r="B69" s="101" t="s">
        <v>239</v>
      </c>
      <c r="C69" s="102" t="s">
        <v>240</v>
      </c>
      <c r="D69" s="112" t="s">
        <v>139</v>
      </c>
      <c r="E69" s="103">
        <v>0</v>
      </c>
      <c r="F69" s="103">
        <v>0</v>
      </c>
      <c r="G69" s="103"/>
      <c r="H69" s="103"/>
      <c r="I69" s="103">
        <f t="shared" si="0"/>
        <v>0</v>
      </c>
    </row>
    <row r="70" spans="1:9">
      <c r="A70" s="111">
        <f t="shared" si="1"/>
        <v>62</v>
      </c>
      <c r="B70" s="101" t="s">
        <v>241</v>
      </c>
      <c r="C70" s="102" t="s">
        <v>242</v>
      </c>
      <c r="D70" s="112" t="s">
        <v>139</v>
      </c>
      <c r="E70" s="103">
        <v>0</v>
      </c>
      <c r="F70" s="103">
        <f>26000-26000</f>
        <v>0</v>
      </c>
      <c r="G70" s="103">
        <f>78000-78000</f>
        <v>0</v>
      </c>
      <c r="H70" s="103">
        <f>39000-39000</f>
        <v>0</v>
      </c>
      <c r="I70" s="103">
        <f t="shared" si="0"/>
        <v>0</v>
      </c>
    </row>
    <row r="71" spans="1:9">
      <c r="A71" s="111">
        <f t="shared" si="1"/>
        <v>63</v>
      </c>
      <c r="B71" s="101" t="s">
        <v>243</v>
      </c>
      <c r="C71" s="102" t="s">
        <v>244</v>
      </c>
      <c r="D71" s="112" t="s">
        <v>139</v>
      </c>
      <c r="E71" s="103">
        <v>0</v>
      </c>
      <c r="F71" s="103">
        <v>0</v>
      </c>
      <c r="G71" s="103">
        <f>7000-7000</f>
        <v>0</v>
      </c>
      <c r="H71" s="103"/>
      <c r="I71" s="103">
        <f t="shared" si="0"/>
        <v>0</v>
      </c>
    </row>
    <row r="72" spans="1:9">
      <c r="A72" s="111">
        <f t="shared" si="1"/>
        <v>64</v>
      </c>
      <c r="B72" s="101" t="s">
        <v>245</v>
      </c>
      <c r="C72" s="102" t="s">
        <v>246</v>
      </c>
      <c r="D72" s="112" t="s">
        <v>139</v>
      </c>
      <c r="E72" s="103">
        <v>0</v>
      </c>
      <c r="F72" s="103">
        <v>0</v>
      </c>
      <c r="G72" s="103">
        <f>4800-4800+6200-6200+4900-4900</f>
        <v>0</v>
      </c>
      <c r="H72" s="103"/>
      <c r="I72" s="103">
        <f t="shared" si="0"/>
        <v>0</v>
      </c>
    </row>
    <row r="73" spans="1:9">
      <c r="A73" s="111">
        <f t="shared" si="1"/>
        <v>65</v>
      </c>
      <c r="B73" s="101" t="s">
        <v>247</v>
      </c>
      <c r="C73" s="102" t="s">
        <v>248</v>
      </c>
      <c r="D73" s="112" t="s">
        <v>139</v>
      </c>
      <c r="E73" s="103">
        <v>0</v>
      </c>
      <c r="F73" s="103">
        <v>0</v>
      </c>
      <c r="G73" s="103"/>
      <c r="H73" s="103"/>
      <c r="I73" s="103">
        <f t="shared" si="0"/>
        <v>0</v>
      </c>
    </row>
    <row r="74" spans="1:9">
      <c r="A74" s="111">
        <f t="shared" si="1"/>
        <v>66</v>
      </c>
      <c r="B74" s="101" t="s">
        <v>249</v>
      </c>
      <c r="C74" s="102" t="s">
        <v>250</v>
      </c>
      <c r="D74" s="112" t="s">
        <v>139</v>
      </c>
      <c r="E74" s="103">
        <v>0</v>
      </c>
      <c r="F74" s="103">
        <f>46574.08-46574.08</f>
        <v>0</v>
      </c>
      <c r="G74" s="103"/>
      <c r="H74" s="103">
        <v>41952</v>
      </c>
      <c r="I74" s="103">
        <f t="shared" ref="I74:I137" si="2">SUM(E74:H74)</f>
        <v>41952</v>
      </c>
    </row>
    <row r="75" spans="1:9">
      <c r="A75" s="111">
        <f t="shared" ref="A75:A138" si="3">SUM(1+A74)</f>
        <v>67</v>
      </c>
      <c r="B75" s="101" t="s">
        <v>17</v>
      </c>
      <c r="C75" s="102" t="s">
        <v>17</v>
      </c>
      <c r="D75" s="112" t="s">
        <v>139</v>
      </c>
      <c r="E75" s="103">
        <v>0</v>
      </c>
      <c r="F75" s="103">
        <v>79012.5</v>
      </c>
      <c r="G75" s="103">
        <f>1187.5+1187.5+2337.5+2912.5+1187.5+1187.5+1187.5+2637.5</f>
        <v>13825</v>
      </c>
      <c r="H75" s="103">
        <v>12862.5</v>
      </c>
      <c r="I75" s="103">
        <f t="shared" si="2"/>
        <v>105700</v>
      </c>
    </row>
    <row r="76" spans="1:9">
      <c r="A76" s="111">
        <f t="shared" si="3"/>
        <v>68</v>
      </c>
      <c r="B76" s="101" t="s">
        <v>251</v>
      </c>
      <c r="C76" s="102" t="s">
        <v>252</v>
      </c>
      <c r="D76" s="112" t="s">
        <v>139</v>
      </c>
      <c r="E76" s="103">
        <v>0</v>
      </c>
      <c r="F76" s="103">
        <f>316240-37760-278480</f>
        <v>0</v>
      </c>
      <c r="G76" s="103"/>
      <c r="H76" s="103">
        <f>27140+134520</f>
        <v>161660</v>
      </c>
      <c r="I76" s="103">
        <f t="shared" si="2"/>
        <v>161660</v>
      </c>
    </row>
    <row r="77" spans="1:9">
      <c r="A77" s="111">
        <f t="shared" si="3"/>
        <v>69</v>
      </c>
      <c r="B77" s="101" t="s">
        <v>253</v>
      </c>
      <c r="C77" s="102" t="s">
        <v>254</v>
      </c>
      <c r="D77" s="112" t="s">
        <v>139</v>
      </c>
      <c r="E77" s="103">
        <v>0</v>
      </c>
      <c r="F77" s="103">
        <v>0</v>
      </c>
      <c r="G77" s="103"/>
      <c r="H77" s="103"/>
      <c r="I77" s="103">
        <f t="shared" si="2"/>
        <v>0</v>
      </c>
    </row>
    <row r="78" spans="1:9">
      <c r="A78" s="111">
        <f t="shared" si="3"/>
        <v>70</v>
      </c>
      <c r="B78" s="101" t="s">
        <v>255</v>
      </c>
      <c r="C78" s="102" t="s">
        <v>236</v>
      </c>
      <c r="D78" s="112" t="s">
        <v>139</v>
      </c>
      <c r="E78" s="103">
        <v>0</v>
      </c>
      <c r="F78" s="103">
        <v>110656.03</v>
      </c>
      <c r="G78" s="103">
        <v>83984.9</v>
      </c>
      <c r="H78" s="103"/>
      <c r="I78" s="103">
        <f t="shared" si="2"/>
        <v>194640.93</v>
      </c>
    </row>
    <row r="79" spans="1:9">
      <c r="A79" s="111">
        <f t="shared" si="3"/>
        <v>71</v>
      </c>
      <c r="B79" s="101" t="s">
        <v>256</v>
      </c>
      <c r="C79" s="102" t="s">
        <v>257</v>
      </c>
      <c r="D79" s="112" t="s">
        <v>139</v>
      </c>
      <c r="E79" s="103">
        <v>0</v>
      </c>
      <c r="F79" s="103">
        <v>0</v>
      </c>
      <c r="G79" s="103"/>
      <c r="H79" s="103"/>
      <c r="I79" s="103">
        <f t="shared" si="2"/>
        <v>0</v>
      </c>
    </row>
    <row r="80" spans="1:9">
      <c r="A80" s="111">
        <f t="shared" si="3"/>
        <v>72</v>
      </c>
      <c r="B80" s="101" t="s">
        <v>258</v>
      </c>
      <c r="C80" s="102" t="s">
        <v>259</v>
      </c>
      <c r="D80" s="112" t="s">
        <v>139</v>
      </c>
      <c r="E80" s="103">
        <v>0</v>
      </c>
      <c r="F80" s="103">
        <v>0</v>
      </c>
      <c r="G80" s="103"/>
      <c r="H80" s="103"/>
      <c r="I80" s="103">
        <f t="shared" si="2"/>
        <v>0</v>
      </c>
    </row>
    <row r="81" spans="1:9">
      <c r="A81" s="111">
        <f t="shared" si="3"/>
        <v>73</v>
      </c>
      <c r="B81" s="101" t="s">
        <v>260</v>
      </c>
      <c r="C81" s="102" t="s">
        <v>261</v>
      </c>
      <c r="D81" s="112" t="s">
        <v>139</v>
      </c>
      <c r="E81" s="103">
        <v>0</v>
      </c>
      <c r="F81" s="103">
        <v>0</v>
      </c>
      <c r="G81" s="103"/>
      <c r="H81" s="103"/>
      <c r="I81" s="103">
        <f t="shared" si="2"/>
        <v>0</v>
      </c>
    </row>
    <row r="82" spans="1:9">
      <c r="A82" s="111">
        <f t="shared" si="3"/>
        <v>74</v>
      </c>
      <c r="B82" s="101" t="s">
        <v>262</v>
      </c>
      <c r="C82" s="102" t="s">
        <v>263</v>
      </c>
      <c r="D82" s="112" t="s">
        <v>139</v>
      </c>
      <c r="E82" s="103">
        <v>0</v>
      </c>
      <c r="F82" s="103">
        <f>49734.21-49734.21</f>
        <v>0</v>
      </c>
      <c r="G82" s="103">
        <f>15131.81-15131.81+3283.48-3283.48+13747.5-13747.5+3199.01-3199.01</f>
        <v>0</v>
      </c>
      <c r="H82" s="103">
        <f>4012.62-4012.62</f>
        <v>0</v>
      </c>
      <c r="I82" s="103">
        <f t="shared" si="2"/>
        <v>0</v>
      </c>
    </row>
    <row r="83" spans="1:9">
      <c r="A83" s="111">
        <f t="shared" si="3"/>
        <v>75</v>
      </c>
      <c r="B83" s="101" t="s">
        <v>264</v>
      </c>
      <c r="C83" s="102" t="s">
        <v>236</v>
      </c>
      <c r="D83" s="112" t="s">
        <v>139</v>
      </c>
      <c r="E83" s="103">
        <v>0</v>
      </c>
      <c r="F83" s="103">
        <v>0</v>
      </c>
      <c r="G83" s="103"/>
      <c r="H83" s="103"/>
      <c r="I83" s="103">
        <f t="shared" si="2"/>
        <v>0</v>
      </c>
    </row>
    <row r="84" spans="1:9">
      <c r="A84" s="111">
        <f t="shared" si="3"/>
        <v>76</v>
      </c>
      <c r="B84" s="101" t="s">
        <v>265</v>
      </c>
      <c r="C84" s="102" t="s">
        <v>266</v>
      </c>
      <c r="D84" s="112" t="s">
        <v>139</v>
      </c>
      <c r="E84" s="103">
        <v>0</v>
      </c>
      <c r="F84" s="103">
        <v>0</v>
      </c>
      <c r="G84" s="103"/>
      <c r="H84" s="103"/>
      <c r="I84" s="103">
        <f t="shared" si="2"/>
        <v>0</v>
      </c>
    </row>
    <row r="85" spans="1:9">
      <c r="A85" s="111">
        <f t="shared" si="3"/>
        <v>77</v>
      </c>
      <c r="B85" s="101" t="s">
        <v>267</v>
      </c>
      <c r="C85" s="102" t="s">
        <v>268</v>
      </c>
      <c r="D85" s="112" t="s">
        <v>139</v>
      </c>
      <c r="E85" s="103">
        <v>0</v>
      </c>
      <c r="F85" s="103">
        <v>0</v>
      </c>
      <c r="G85" s="103"/>
      <c r="H85" s="103"/>
      <c r="I85" s="103">
        <f t="shared" si="2"/>
        <v>0</v>
      </c>
    </row>
    <row r="86" spans="1:9">
      <c r="A86" s="111">
        <f t="shared" si="3"/>
        <v>78</v>
      </c>
      <c r="B86" s="101" t="s">
        <v>269</v>
      </c>
      <c r="C86" s="102" t="s">
        <v>270</v>
      </c>
      <c r="D86" s="112" t="s">
        <v>139</v>
      </c>
      <c r="E86" s="103">
        <v>0</v>
      </c>
      <c r="F86" s="103">
        <f>37760-37760</f>
        <v>0</v>
      </c>
      <c r="G86" s="103"/>
      <c r="H86" s="103"/>
      <c r="I86" s="103">
        <f t="shared" si="2"/>
        <v>0</v>
      </c>
    </row>
    <row r="87" spans="1:9">
      <c r="A87" s="111">
        <f t="shared" si="3"/>
        <v>79</v>
      </c>
      <c r="B87" s="101" t="s">
        <v>271</v>
      </c>
      <c r="C87" s="102" t="s">
        <v>272</v>
      </c>
      <c r="D87" s="112" t="s">
        <v>139</v>
      </c>
      <c r="E87" s="103">
        <v>0</v>
      </c>
      <c r="F87" s="103">
        <v>0</v>
      </c>
      <c r="G87" s="103"/>
      <c r="H87" s="103"/>
      <c r="I87" s="103">
        <f t="shared" si="2"/>
        <v>0</v>
      </c>
    </row>
    <row r="88" spans="1:9">
      <c r="A88" s="111">
        <f t="shared" si="3"/>
        <v>80</v>
      </c>
      <c r="B88" s="101" t="s">
        <v>273</v>
      </c>
      <c r="C88" s="102" t="s">
        <v>274</v>
      </c>
      <c r="D88" s="112" t="s">
        <v>139</v>
      </c>
      <c r="E88" s="103">
        <v>0</v>
      </c>
      <c r="F88" s="103">
        <f>398808.5-251096-11070-62824.05</f>
        <v>73818.45</v>
      </c>
      <c r="G88" s="103"/>
      <c r="H88" s="103">
        <v>129464</v>
      </c>
      <c r="I88" s="103">
        <f t="shared" si="2"/>
        <v>203282.45</v>
      </c>
    </row>
    <row r="89" spans="1:9">
      <c r="A89" s="111">
        <f t="shared" si="3"/>
        <v>81</v>
      </c>
      <c r="B89" s="101" t="s">
        <v>275</v>
      </c>
      <c r="C89" s="102" t="s">
        <v>276</v>
      </c>
      <c r="D89" s="112" t="s">
        <v>139</v>
      </c>
      <c r="E89" s="103">
        <v>0</v>
      </c>
      <c r="F89" s="103">
        <v>20414</v>
      </c>
      <c r="G89" s="103"/>
      <c r="H89" s="103"/>
      <c r="I89" s="103">
        <f t="shared" si="2"/>
        <v>20414</v>
      </c>
    </row>
    <row r="90" spans="1:9">
      <c r="A90" s="111">
        <f t="shared" si="3"/>
        <v>82</v>
      </c>
      <c r="B90" s="101" t="s">
        <v>271</v>
      </c>
      <c r="C90" s="102" t="s">
        <v>277</v>
      </c>
      <c r="D90" s="112" t="s">
        <v>139</v>
      </c>
      <c r="E90" s="103">
        <v>0</v>
      </c>
      <c r="F90" s="103">
        <v>0</v>
      </c>
      <c r="G90" s="103"/>
      <c r="H90" s="103"/>
      <c r="I90" s="103">
        <f t="shared" si="2"/>
        <v>0</v>
      </c>
    </row>
    <row r="91" spans="1:9">
      <c r="A91" s="111">
        <f t="shared" si="3"/>
        <v>83</v>
      </c>
      <c r="B91" s="101" t="s">
        <v>278</v>
      </c>
      <c r="C91" s="102" t="s">
        <v>279</v>
      </c>
      <c r="D91" s="112" t="s">
        <v>139</v>
      </c>
      <c r="E91" s="103">
        <v>0</v>
      </c>
      <c r="F91" s="103">
        <v>0</v>
      </c>
      <c r="G91" s="103"/>
      <c r="H91" s="103"/>
      <c r="I91" s="103">
        <f t="shared" si="2"/>
        <v>0</v>
      </c>
    </row>
    <row r="92" spans="1:9">
      <c r="A92" s="111">
        <f t="shared" si="3"/>
        <v>84</v>
      </c>
      <c r="B92" s="101" t="s">
        <v>280</v>
      </c>
      <c r="C92" s="102" t="s">
        <v>281</v>
      </c>
      <c r="D92" s="112" t="s">
        <v>139</v>
      </c>
      <c r="E92" s="103">
        <v>0</v>
      </c>
      <c r="F92" s="103">
        <v>0</v>
      </c>
      <c r="G92" s="103"/>
      <c r="H92" s="103"/>
      <c r="I92" s="103">
        <f t="shared" si="2"/>
        <v>0</v>
      </c>
    </row>
    <row r="93" spans="1:9">
      <c r="A93" s="111">
        <f t="shared" si="3"/>
        <v>85</v>
      </c>
      <c r="B93" s="101" t="s">
        <v>282</v>
      </c>
      <c r="C93" s="102" t="s">
        <v>283</v>
      </c>
      <c r="D93" s="112" t="s">
        <v>139</v>
      </c>
      <c r="E93" s="103">
        <v>0</v>
      </c>
      <c r="F93" s="103">
        <v>0</v>
      </c>
      <c r="G93" s="103"/>
      <c r="H93" s="103"/>
      <c r="I93" s="103">
        <f t="shared" si="2"/>
        <v>0</v>
      </c>
    </row>
    <row r="94" spans="1:9">
      <c r="A94" s="111">
        <f t="shared" si="3"/>
        <v>86</v>
      </c>
      <c r="B94" s="101" t="s">
        <v>284</v>
      </c>
      <c r="C94" s="102" t="s">
        <v>281</v>
      </c>
      <c r="D94" s="112" t="s">
        <v>139</v>
      </c>
      <c r="E94" s="103">
        <v>0</v>
      </c>
      <c r="F94" s="103">
        <v>0</v>
      </c>
      <c r="G94" s="103"/>
      <c r="H94" s="103"/>
      <c r="I94" s="103">
        <f t="shared" si="2"/>
        <v>0</v>
      </c>
    </row>
    <row r="95" spans="1:9">
      <c r="A95" s="111">
        <f t="shared" si="3"/>
        <v>87</v>
      </c>
      <c r="B95" s="101" t="s">
        <v>285</v>
      </c>
      <c r="C95" s="102" t="s">
        <v>286</v>
      </c>
      <c r="D95" s="112" t="s">
        <v>139</v>
      </c>
      <c r="E95" s="103">
        <v>0</v>
      </c>
      <c r="F95" s="103">
        <f>26943.36-26943.36</f>
        <v>0</v>
      </c>
      <c r="G95" s="103"/>
      <c r="H95" s="103"/>
      <c r="I95" s="103">
        <f t="shared" si="2"/>
        <v>0</v>
      </c>
    </row>
    <row r="96" spans="1:9">
      <c r="A96" s="111">
        <f t="shared" si="3"/>
        <v>88</v>
      </c>
      <c r="B96" s="101" t="s">
        <v>287</v>
      </c>
      <c r="C96" s="102" t="s">
        <v>288</v>
      </c>
      <c r="D96" s="112" t="s">
        <v>139</v>
      </c>
      <c r="E96" s="103">
        <v>0</v>
      </c>
      <c r="F96" s="103">
        <v>0</v>
      </c>
      <c r="G96" s="103"/>
      <c r="H96" s="103"/>
      <c r="I96" s="103">
        <f t="shared" si="2"/>
        <v>0</v>
      </c>
    </row>
    <row r="97" spans="1:9">
      <c r="A97" s="111">
        <f t="shared" si="3"/>
        <v>89</v>
      </c>
      <c r="B97" s="101" t="s">
        <v>289</v>
      </c>
      <c r="C97" s="102" t="s">
        <v>290</v>
      </c>
      <c r="D97" s="112" t="s">
        <v>139</v>
      </c>
      <c r="E97" s="103">
        <v>0</v>
      </c>
      <c r="F97" s="103">
        <v>0</v>
      </c>
      <c r="G97" s="103"/>
      <c r="H97" s="103"/>
      <c r="I97" s="103">
        <f t="shared" si="2"/>
        <v>0</v>
      </c>
    </row>
    <row r="98" spans="1:9">
      <c r="A98" s="111">
        <f t="shared" si="3"/>
        <v>90</v>
      </c>
      <c r="B98" s="101" t="s">
        <v>291</v>
      </c>
      <c r="C98" s="102" t="s">
        <v>288</v>
      </c>
      <c r="D98" s="112" t="s">
        <v>139</v>
      </c>
      <c r="E98" s="103">
        <v>0</v>
      </c>
      <c r="F98" s="103">
        <v>0</v>
      </c>
      <c r="G98" s="103"/>
      <c r="H98" s="103"/>
      <c r="I98" s="103">
        <f t="shared" si="2"/>
        <v>0</v>
      </c>
    </row>
    <row r="99" spans="1:9" ht="15.75">
      <c r="A99" s="111">
        <f t="shared" si="3"/>
        <v>91</v>
      </c>
      <c r="B99" s="104" t="s">
        <v>292</v>
      </c>
      <c r="C99" s="102" t="s">
        <v>293</v>
      </c>
      <c r="D99" s="112" t="s">
        <v>139</v>
      </c>
      <c r="E99" s="103">
        <v>0</v>
      </c>
      <c r="F99" s="103">
        <v>0</v>
      </c>
      <c r="G99" s="103"/>
      <c r="H99" s="103"/>
      <c r="I99" s="103">
        <f t="shared" si="2"/>
        <v>0</v>
      </c>
    </row>
    <row r="100" spans="1:9" ht="15.75">
      <c r="A100" s="111">
        <f t="shared" si="3"/>
        <v>92</v>
      </c>
      <c r="B100" s="104" t="s">
        <v>294</v>
      </c>
      <c r="C100" s="102" t="s">
        <v>295</v>
      </c>
      <c r="D100" s="112" t="s">
        <v>139</v>
      </c>
      <c r="E100" s="103">
        <v>0</v>
      </c>
      <c r="F100" s="103">
        <v>0</v>
      </c>
      <c r="G100" s="103"/>
      <c r="H100" s="103">
        <v>16520</v>
      </c>
      <c r="I100" s="103">
        <f t="shared" si="2"/>
        <v>16520</v>
      </c>
    </row>
    <row r="101" spans="1:9" ht="15.75">
      <c r="A101" s="111">
        <f t="shared" si="3"/>
        <v>93</v>
      </c>
      <c r="B101" s="104" t="s">
        <v>296</v>
      </c>
      <c r="C101" s="102" t="s">
        <v>179</v>
      </c>
      <c r="D101" s="112" t="s">
        <v>139</v>
      </c>
      <c r="E101" s="103">
        <v>0</v>
      </c>
      <c r="F101" s="103">
        <v>0</v>
      </c>
      <c r="G101" s="103"/>
      <c r="H101" s="103"/>
      <c r="I101" s="103">
        <f t="shared" si="2"/>
        <v>0</v>
      </c>
    </row>
    <row r="102" spans="1:9" ht="15.75">
      <c r="A102" s="111">
        <f t="shared" si="3"/>
        <v>94</v>
      </c>
      <c r="B102" s="104" t="s">
        <v>297</v>
      </c>
      <c r="C102" s="102" t="s">
        <v>179</v>
      </c>
      <c r="D102" s="112" t="s">
        <v>139</v>
      </c>
      <c r="E102" s="103">
        <v>0</v>
      </c>
      <c r="F102" s="103">
        <v>0</v>
      </c>
      <c r="G102" s="103"/>
      <c r="H102" s="103"/>
      <c r="I102" s="103">
        <f t="shared" si="2"/>
        <v>0</v>
      </c>
    </row>
    <row r="103" spans="1:9">
      <c r="A103" s="111">
        <f t="shared" si="3"/>
        <v>95</v>
      </c>
      <c r="B103" s="101" t="s">
        <v>298</v>
      </c>
      <c r="C103" s="102" t="s">
        <v>299</v>
      </c>
      <c r="D103" s="112" t="s">
        <v>139</v>
      </c>
      <c r="E103" s="103">
        <v>0</v>
      </c>
      <c r="F103" s="103">
        <v>0</v>
      </c>
      <c r="G103" s="103"/>
      <c r="H103" s="103"/>
      <c r="I103" s="103">
        <f t="shared" si="2"/>
        <v>0</v>
      </c>
    </row>
    <row r="104" spans="1:9" ht="15.75">
      <c r="A104" s="111">
        <f t="shared" si="3"/>
        <v>96</v>
      </c>
      <c r="B104" s="104" t="s">
        <v>300</v>
      </c>
      <c r="C104" s="105" t="s">
        <v>301</v>
      </c>
      <c r="D104" s="112" t="s">
        <v>139</v>
      </c>
      <c r="E104" s="103">
        <v>0</v>
      </c>
      <c r="F104" s="103">
        <v>0</v>
      </c>
      <c r="G104" s="103"/>
      <c r="H104" s="103"/>
      <c r="I104" s="103">
        <f t="shared" si="2"/>
        <v>0</v>
      </c>
    </row>
    <row r="105" spans="1:9" ht="15.75">
      <c r="A105" s="111">
        <f t="shared" si="3"/>
        <v>97</v>
      </c>
      <c r="B105" s="106" t="s">
        <v>302</v>
      </c>
      <c r="C105" s="105" t="s">
        <v>301</v>
      </c>
      <c r="D105" s="112" t="s">
        <v>139</v>
      </c>
      <c r="E105" s="103">
        <v>0</v>
      </c>
      <c r="F105" s="103">
        <v>0</v>
      </c>
      <c r="G105" s="103"/>
      <c r="H105" s="103"/>
      <c r="I105" s="103">
        <f t="shared" si="2"/>
        <v>0</v>
      </c>
    </row>
    <row r="106" spans="1:9" ht="15.75">
      <c r="A106" s="111">
        <f t="shared" si="3"/>
        <v>98</v>
      </c>
      <c r="B106" s="104" t="s">
        <v>303</v>
      </c>
      <c r="C106" s="19" t="s">
        <v>304</v>
      </c>
      <c r="D106" s="112" t="s">
        <v>139</v>
      </c>
      <c r="E106" s="103">
        <v>0</v>
      </c>
      <c r="F106" s="103">
        <v>0</v>
      </c>
      <c r="G106" s="103"/>
      <c r="H106" s="103"/>
      <c r="I106" s="103">
        <f t="shared" si="2"/>
        <v>0</v>
      </c>
    </row>
    <row r="107" spans="1:9" ht="15.75">
      <c r="A107" s="111">
        <f t="shared" si="3"/>
        <v>99</v>
      </c>
      <c r="B107" s="104" t="s">
        <v>305</v>
      </c>
      <c r="C107" s="105" t="s">
        <v>306</v>
      </c>
      <c r="D107" s="112" t="s">
        <v>139</v>
      </c>
      <c r="E107" s="103">
        <v>0</v>
      </c>
      <c r="F107" s="103">
        <f>31399.94-31399.94</f>
        <v>0</v>
      </c>
      <c r="G107" s="103"/>
      <c r="H107" s="103"/>
      <c r="I107" s="103">
        <f t="shared" si="2"/>
        <v>0</v>
      </c>
    </row>
    <row r="108" spans="1:9" ht="15.75">
      <c r="A108" s="111">
        <f t="shared" si="3"/>
        <v>100</v>
      </c>
      <c r="B108" s="104" t="s">
        <v>307</v>
      </c>
      <c r="C108" s="102" t="s">
        <v>179</v>
      </c>
      <c r="D108" s="112" t="s">
        <v>139</v>
      </c>
      <c r="E108" s="103">
        <v>0</v>
      </c>
      <c r="F108" s="103">
        <v>0</v>
      </c>
      <c r="G108" s="103"/>
      <c r="H108" s="103"/>
      <c r="I108" s="103">
        <f t="shared" si="2"/>
        <v>0</v>
      </c>
    </row>
    <row r="109" spans="1:9" ht="15.75">
      <c r="A109" s="111">
        <f t="shared" si="3"/>
        <v>101</v>
      </c>
      <c r="B109" s="106" t="s">
        <v>308</v>
      </c>
      <c r="C109" s="102" t="s">
        <v>214</v>
      </c>
      <c r="D109" s="112" t="s">
        <v>139</v>
      </c>
      <c r="E109" s="103">
        <v>0</v>
      </c>
      <c r="F109" s="103">
        <v>0</v>
      </c>
      <c r="G109" s="103"/>
      <c r="H109" s="103"/>
      <c r="I109" s="103">
        <f t="shared" si="2"/>
        <v>0</v>
      </c>
    </row>
    <row r="110" spans="1:9" ht="15.75">
      <c r="A110" s="111">
        <f t="shared" si="3"/>
        <v>102</v>
      </c>
      <c r="B110" s="106" t="s">
        <v>309</v>
      </c>
      <c r="C110" s="102" t="s">
        <v>214</v>
      </c>
      <c r="D110" s="112" t="s">
        <v>139</v>
      </c>
      <c r="E110" s="103">
        <v>0</v>
      </c>
      <c r="F110" s="103">
        <v>0</v>
      </c>
      <c r="G110" s="103"/>
      <c r="H110" s="103"/>
      <c r="I110" s="103">
        <f t="shared" si="2"/>
        <v>0</v>
      </c>
    </row>
    <row r="111" spans="1:9" ht="15.75">
      <c r="A111" s="111">
        <f t="shared" si="3"/>
        <v>103</v>
      </c>
      <c r="B111" s="106" t="s">
        <v>310</v>
      </c>
      <c r="C111" s="102" t="s">
        <v>212</v>
      </c>
      <c r="D111" s="112" t="s">
        <v>139</v>
      </c>
      <c r="E111" s="103">
        <v>0</v>
      </c>
      <c r="F111" s="103">
        <v>0</v>
      </c>
      <c r="G111" s="103"/>
      <c r="H111" s="103"/>
      <c r="I111" s="103">
        <f t="shared" si="2"/>
        <v>0</v>
      </c>
    </row>
    <row r="112" spans="1:9" ht="15.75">
      <c r="A112" s="111">
        <f t="shared" si="3"/>
        <v>104</v>
      </c>
      <c r="B112" s="106" t="s">
        <v>311</v>
      </c>
      <c r="C112" s="102" t="s">
        <v>214</v>
      </c>
      <c r="D112" s="112" t="s">
        <v>139</v>
      </c>
      <c r="E112" s="103">
        <v>0</v>
      </c>
      <c r="F112" s="103">
        <f>1144296-527884-563012-53400</f>
        <v>0</v>
      </c>
      <c r="G112" s="103">
        <f>271000-271000+1800</f>
        <v>1800</v>
      </c>
      <c r="H112" s="103">
        <f>101250+299948.61+149300+847104.28+3771.28+18762</f>
        <v>1420136.1700000002</v>
      </c>
      <c r="I112" s="103">
        <f t="shared" si="2"/>
        <v>1421936.1700000002</v>
      </c>
    </row>
    <row r="113" spans="1:9" ht="15.75">
      <c r="A113" s="111">
        <f t="shared" si="3"/>
        <v>105</v>
      </c>
      <c r="B113" s="106" t="s">
        <v>312</v>
      </c>
      <c r="C113" s="102" t="s">
        <v>179</v>
      </c>
      <c r="D113" s="112" t="s">
        <v>139</v>
      </c>
      <c r="E113" s="103">
        <v>0</v>
      </c>
      <c r="F113" s="103">
        <v>0</v>
      </c>
      <c r="G113" s="103"/>
      <c r="H113" s="103" t="s">
        <v>57</v>
      </c>
      <c r="I113" s="103">
        <f t="shared" si="2"/>
        <v>0</v>
      </c>
    </row>
    <row r="114" spans="1:9" ht="15.75">
      <c r="A114" s="111">
        <f t="shared" si="3"/>
        <v>106</v>
      </c>
      <c r="B114" s="104" t="s">
        <v>313</v>
      </c>
      <c r="C114" s="102" t="s">
        <v>314</v>
      </c>
      <c r="D114" s="112" t="s">
        <v>139</v>
      </c>
      <c r="E114" s="103">
        <v>0</v>
      </c>
      <c r="F114" s="103">
        <v>0</v>
      </c>
      <c r="G114" s="103"/>
      <c r="H114" s="103"/>
      <c r="I114" s="103">
        <f t="shared" si="2"/>
        <v>0</v>
      </c>
    </row>
    <row r="115" spans="1:9" ht="15.75">
      <c r="A115" s="111">
        <f t="shared" si="3"/>
        <v>107</v>
      </c>
      <c r="B115" s="104" t="s">
        <v>315</v>
      </c>
      <c r="C115" s="102" t="s">
        <v>179</v>
      </c>
      <c r="D115" s="112" t="s">
        <v>139</v>
      </c>
      <c r="E115" s="103">
        <v>0</v>
      </c>
      <c r="F115" s="103">
        <v>0</v>
      </c>
      <c r="G115" s="103"/>
      <c r="H115" s="103">
        <v>26800</v>
      </c>
      <c r="I115" s="103">
        <f t="shared" si="2"/>
        <v>26800</v>
      </c>
    </row>
    <row r="116" spans="1:9" ht="15.75">
      <c r="A116" s="111">
        <f t="shared" si="3"/>
        <v>108</v>
      </c>
      <c r="B116" s="104" t="s">
        <v>316</v>
      </c>
      <c r="C116" s="102" t="s">
        <v>317</v>
      </c>
      <c r="D116" s="112" t="s">
        <v>139</v>
      </c>
      <c r="E116" s="103">
        <v>0</v>
      </c>
      <c r="F116" s="103">
        <v>0</v>
      </c>
      <c r="G116" s="103"/>
      <c r="H116" s="103"/>
      <c r="I116" s="103">
        <f t="shared" si="2"/>
        <v>0</v>
      </c>
    </row>
    <row r="117" spans="1:9" ht="15.75">
      <c r="A117" s="111">
        <f t="shared" si="3"/>
        <v>109</v>
      </c>
      <c r="B117" s="104" t="s">
        <v>318</v>
      </c>
      <c r="C117" s="102" t="s">
        <v>319</v>
      </c>
      <c r="D117" s="112" t="s">
        <v>139</v>
      </c>
      <c r="E117" s="103">
        <v>0</v>
      </c>
      <c r="F117" s="103">
        <v>0</v>
      </c>
      <c r="G117" s="103"/>
      <c r="H117" s="103"/>
      <c r="I117" s="103">
        <f t="shared" si="2"/>
        <v>0</v>
      </c>
    </row>
    <row r="118" spans="1:9" ht="15.75">
      <c r="A118" s="111">
        <f t="shared" si="3"/>
        <v>110</v>
      </c>
      <c r="B118" s="104" t="s">
        <v>320</v>
      </c>
      <c r="C118" s="102" t="s">
        <v>306</v>
      </c>
      <c r="D118" s="112" t="s">
        <v>139</v>
      </c>
      <c r="E118" s="103">
        <v>0</v>
      </c>
      <c r="F118" s="103">
        <v>0</v>
      </c>
      <c r="G118" s="103"/>
      <c r="H118" s="103"/>
      <c r="I118" s="103">
        <f t="shared" si="2"/>
        <v>0</v>
      </c>
    </row>
    <row r="119" spans="1:9" ht="15.75">
      <c r="A119" s="111">
        <f t="shared" si="3"/>
        <v>111</v>
      </c>
      <c r="B119" s="104" t="s">
        <v>321</v>
      </c>
      <c r="C119" s="102" t="s">
        <v>322</v>
      </c>
      <c r="D119" s="112" t="s">
        <v>139</v>
      </c>
      <c r="E119" s="103">
        <v>0</v>
      </c>
      <c r="F119" s="103">
        <v>0</v>
      </c>
      <c r="G119" s="103">
        <v>56500</v>
      </c>
      <c r="H119" s="103">
        <f>240600+134400</f>
        <v>375000</v>
      </c>
      <c r="I119" s="103">
        <f t="shared" si="2"/>
        <v>431500</v>
      </c>
    </row>
    <row r="120" spans="1:9" ht="15.75">
      <c r="A120" s="111">
        <f t="shared" si="3"/>
        <v>112</v>
      </c>
      <c r="B120" s="104" t="s">
        <v>323</v>
      </c>
      <c r="C120" s="102" t="s">
        <v>324</v>
      </c>
      <c r="D120" s="112" t="s">
        <v>139</v>
      </c>
      <c r="E120" s="103">
        <v>0</v>
      </c>
      <c r="F120" s="103">
        <v>0</v>
      </c>
      <c r="G120" s="103"/>
      <c r="H120" s="103"/>
      <c r="I120" s="103">
        <f t="shared" si="2"/>
        <v>0</v>
      </c>
    </row>
    <row r="121" spans="1:9" ht="15.75">
      <c r="A121" s="111">
        <f t="shared" si="3"/>
        <v>113</v>
      </c>
      <c r="B121" s="104" t="s">
        <v>325</v>
      </c>
      <c r="C121" s="102" t="s">
        <v>322</v>
      </c>
      <c r="D121" s="112" t="s">
        <v>139</v>
      </c>
      <c r="E121" s="103">
        <v>5.4569682106375694E-12</v>
      </c>
      <c r="F121" s="103">
        <v>0</v>
      </c>
      <c r="G121" s="103"/>
      <c r="H121" s="103"/>
      <c r="I121" s="103">
        <f t="shared" si="2"/>
        <v>5.4569682106375694E-12</v>
      </c>
    </row>
    <row r="122" spans="1:9" ht="15.75">
      <c r="A122" s="111">
        <f t="shared" si="3"/>
        <v>114</v>
      </c>
      <c r="B122" s="104" t="s">
        <v>326</v>
      </c>
      <c r="C122" s="102" t="s">
        <v>322</v>
      </c>
      <c r="D122" s="112" t="s">
        <v>139</v>
      </c>
      <c r="E122" s="103">
        <v>0</v>
      </c>
      <c r="F122" s="103">
        <v>0</v>
      </c>
      <c r="G122" s="103"/>
      <c r="H122" s="103"/>
      <c r="I122" s="103">
        <f t="shared" si="2"/>
        <v>0</v>
      </c>
    </row>
    <row r="123" spans="1:9" ht="15.75">
      <c r="A123" s="111">
        <f t="shared" si="3"/>
        <v>115</v>
      </c>
      <c r="B123" s="104" t="s">
        <v>327</v>
      </c>
      <c r="C123" s="102" t="s">
        <v>322</v>
      </c>
      <c r="D123" s="112" t="s">
        <v>139</v>
      </c>
      <c r="E123" s="103">
        <v>0</v>
      </c>
      <c r="F123" s="103">
        <v>0</v>
      </c>
      <c r="G123" s="103"/>
      <c r="H123" s="103"/>
      <c r="I123" s="103">
        <f t="shared" si="2"/>
        <v>0</v>
      </c>
    </row>
    <row r="124" spans="1:9" ht="15.75">
      <c r="A124" s="111">
        <f t="shared" si="3"/>
        <v>116</v>
      </c>
      <c r="B124" s="104" t="s">
        <v>328</v>
      </c>
      <c r="C124" s="102" t="s">
        <v>179</v>
      </c>
      <c r="D124" s="112" t="s">
        <v>139</v>
      </c>
      <c r="E124" s="103">
        <v>0</v>
      </c>
      <c r="F124" s="103">
        <v>0</v>
      </c>
      <c r="G124" s="103"/>
      <c r="H124" s="103"/>
      <c r="I124" s="103">
        <f t="shared" si="2"/>
        <v>0</v>
      </c>
    </row>
    <row r="125" spans="1:9" ht="15.75">
      <c r="A125" s="111">
        <f t="shared" si="3"/>
        <v>117</v>
      </c>
      <c r="B125" s="106" t="s">
        <v>329</v>
      </c>
      <c r="C125" s="102" t="s">
        <v>322</v>
      </c>
      <c r="D125" s="112" t="s">
        <v>139</v>
      </c>
      <c r="E125" s="103">
        <v>0</v>
      </c>
      <c r="F125" s="103">
        <v>0</v>
      </c>
      <c r="G125" s="103"/>
      <c r="H125" s="103"/>
      <c r="I125" s="103">
        <f t="shared" si="2"/>
        <v>0</v>
      </c>
    </row>
    <row r="126" spans="1:9" ht="15.75">
      <c r="A126" s="111">
        <f t="shared" si="3"/>
        <v>118</v>
      </c>
      <c r="B126" s="106" t="s">
        <v>330</v>
      </c>
      <c r="C126" s="102" t="s">
        <v>331</v>
      </c>
      <c r="D126" s="112" t="s">
        <v>139</v>
      </c>
      <c r="E126" s="103">
        <v>0</v>
      </c>
      <c r="F126" s="103">
        <f>49843.2-49843.2</f>
        <v>0</v>
      </c>
      <c r="G126" s="103"/>
      <c r="H126" s="103"/>
      <c r="I126" s="103">
        <f t="shared" si="2"/>
        <v>0</v>
      </c>
    </row>
    <row r="127" spans="1:9" ht="15.75">
      <c r="A127" s="111">
        <f t="shared" si="3"/>
        <v>119</v>
      </c>
      <c r="B127" s="106" t="s">
        <v>332</v>
      </c>
      <c r="C127" s="102" t="s">
        <v>333</v>
      </c>
      <c r="D127" s="112" t="s">
        <v>139</v>
      </c>
      <c r="E127" s="103">
        <v>0</v>
      </c>
      <c r="F127" s="103">
        <v>0</v>
      </c>
      <c r="G127" s="103"/>
      <c r="H127" s="103"/>
      <c r="I127" s="103">
        <f t="shared" si="2"/>
        <v>0</v>
      </c>
    </row>
    <row r="128" spans="1:9" ht="15.75">
      <c r="A128" s="111">
        <f t="shared" si="3"/>
        <v>120</v>
      </c>
      <c r="B128" s="106" t="s">
        <v>334</v>
      </c>
      <c r="C128" s="102" t="s">
        <v>228</v>
      </c>
      <c r="D128" s="112" t="s">
        <v>139</v>
      </c>
      <c r="E128" s="103">
        <v>0</v>
      </c>
      <c r="F128" s="103">
        <f>300000-300000</f>
        <v>0</v>
      </c>
      <c r="G128" s="103"/>
      <c r="H128" s="103">
        <f>300000-300000+425000</f>
        <v>425000</v>
      </c>
      <c r="I128" s="103">
        <f t="shared" si="2"/>
        <v>425000</v>
      </c>
    </row>
    <row r="129" spans="1:9" ht="15.75">
      <c r="A129" s="111">
        <f t="shared" si="3"/>
        <v>121</v>
      </c>
      <c r="B129" s="104" t="s">
        <v>335</v>
      </c>
      <c r="C129" s="102" t="s">
        <v>336</v>
      </c>
      <c r="D129" s="112" t="s">
        <v>139</v>
      </c>
      <c r="E129" s="103">
        <v>0</v>
      </c>
      <c r="F129" s="103">
        <v>0</v>
      </c>
      <c r="G129" s="103"/>
      <c r="H129" s="103"/>
      <c r="I129" s="103">
        <f t="shared" si="2"/>
        <v>0</v>
      </c>
    </row>
    <row r="130" spans="1:9" ht="15.75">
      <c r="A130" s="111">
        <f t="shared" si="3"/>
        <v>122</v>
      </c>
      <c r="B130" s="104" t="s">
        <v>337</v>
      </c>
      <c r="C130" s="102" t="s">
        <v>338</v>
      </c>
      <c r="D130" s="112" t="s">
        <v>139</v>
      </c>
      <c r="E130" s="103">
        <v>0</v>
      </c>
      <c r="F130" s="103">
        <v>0</v>
      </c>
      <c r="G130" s="103"/>
      <c r="H130" s="103"/>
      <c r="I130" s="103">
        <f t="shared" si="2"/>
        <v>0</v>
      </c>
    </row>
    <row r="131" spans="1:9" ht="15.75">
      <c r="A131" s="111">
        <f t="shared" si="3"/>
        <v>123</v>
      </c>
      <c r="B131" s="106" t="s">
        <v>339</v>
      </c>
      <c r="C131" s="102" t="s">
        <v>306</v>
      </c>
      <c r="D131" s="112" t="s">
        <v>139</v>
      </c>
      <c r="E131" s="103">
        <v>0</v>
      </c>
      <c r="F131" s="103">
        <v>0</v>
      </c>
      <c r="G131" s="103"/>
      <c r="H131" s="103"/>
      <c r="I131" s="103">
        <f t="shared" si="2"/>
        <v>0</v>
      </c>
    </row>
    <row r="132" spans="1:9" ht="15.75">
      <c r="A132" s="111">
        <f t="shared" si="3"/>
        <v>124</v>
      </c>
      <c r="B132" s="106" t="s">
        <v>340</v>
      </c>
      <c r="C132" s="102" t="s">
        <v>341</v>
      </c>
      <c r="D132" s="112" t="s">
        <v>139</v>
      </c>
      <c r="E132" s="103">
        <v>0</v>
      </c>
      <c r="F132" s="103">
        <v>0</v>
      </c>
      <c r="G132" s="103"/>
      <c r="H132" s="103"/>
      <c r="I132" s="103">
        <f t="shared" si="2"/>
        <v>0</v>
      </c>
    </row>
    <row r="133" spans="1:9" ht="15.75">
      <c r="A133" s="111">
        <f t="shared" si="3"/>
        <v>125</v>
      </c>
      <c r="B133" s="106" t="s">
        <v>342</v>
      </c>
      <c r="C133" s="102" t="s">
        <v>322</v>
      </c>
      <c r="D133" s="112" t="s">
        <v>139</v>
      </c>
      <c r="E133" s="103">
        <v>0</v>
      </c>
      <c r="F133" s="103">
        <v>0</v>
      </c>
      <c r="G133" s="103"/>
      <c r="H133" s="103"/>
      <c r="I133" s="103">
        <f t="shared" si="2"/>
        <v>0</v>
      </c>
    </row>
    <row r="134" spans="1:9">
      <c r="A134" s="111">
        <f t="shared" si="3"/>
        <v>126</v>
      </c>
      <c r="B134" s="107" t="s">
        <v>343</v>
      </c>
      <c r="C134" s="107" t="s">
        <v>344</v>
      </c>
      <c r="D134" s="112" t="s">
        <v>139</v>
      </c>
      <c r="E134" s="103">
        <v>0</v>
      </c>
      <c r="F134" s="103">
        <v>0</v>
      </c>
      <c r="G134" s="103"/>
      <c r="H134" s="103"/>
      <c r="I134" s="103">
        <f t="shared" si="2"/>
        <v>0</v>
      </c>
    </row>
    <row r="135" spans="1:9">
      <c r="A135" s="111">
        <f t="shared" si="3"/>
        <v>127</v>
      </c>
      <c r="B135" s="107" t="s">
        <v>345</v>
      </c>
      <c r="C135" s="107" t="s">
        <v>346</v>
      </c>
      <c r="D135" s="112" t="s">
        <v>139</v>
      </c>
      <c r="E135" s="103">
        <v>0</v>
      </c>
      <c r="F135" s="103">
        <v>0</v>
      </c>
      <c r="G135" s="103"/>
      <c r="H135" s="103"/>
      <c r="I135" s="103">
        <f t="shared" si="2"/>
        <v>0</v>
      </c>
    </row>
    <row r="136" spans="1:9" ht="15.75">
      <c r="A136" s="111">
        <f t="shared" si="3"/>
        <v>128</v>
      </c>
      <c r="B136" s="104" t="s">
        <v>347</v>
      </c>
      <c r="C136" s="102" t="s">
        <v>322</v>
      </c>
      <c r="D136" s="112" t="s">
        <v>139</v>
      </c>
      <c r="E136" s="103">
        <v>0</v>
      </c>
      <c r="F136" s="103">
        <v>0</v>
      </c>
      <c r="G136" s="103"/>
      <c r="H136" s="103"/>
      <c r="I136" s="103">
        <f t="shared" si="2"/>
        <v>0</v>
      </c>
    </row>
    <row r="137" spans="1:9" ht="15.75">
      <c r="A137" s="111">
        <f t="shared" si="3"/>
        <v>129</v>
      </c>
      <c r="B137" s="104" t="s">
        <v>348</v>
      </c>
      <c r="C137" s="102" t="s">
        <v>349</v>
      </c>
      <c r="D137" s="112" t="s">
        <v>139</v>
      </c>
      <c r="E137" s="103">
        <v>0</v>
      </c>
      <c r="F137" s="103">
        <v>0</v>
      </c>
      <c r="G137" s="103"/>
      <c r="H137" s="103"/>
      <c r="I137" s="103">
        <f t="shared" si="2"/>
        <v>0</v>
      </c>
    </row>
    <row r="138" spans="1:9" ht="15.75">
      <c r="A138" s="111">
        <f t="shared" si="3"/>
        <v>130</v>
      </c>
      <c r="B138" s="104" t="s">
        <v>350</v>
      </c>
      <c r="C138" s="102" t="s">
        <v>351</v>
      </c>
      <c r="D138" s="112" t="s">
        <v>139</v>
      </c>
      <c r="E138" s="103">
        <v>0</v>
      </c>
      <c r="F138" s="103">
        <f>94551.04-94551.04</f>
        <v>0</v>
      </c>
      <c r="G138" s="103">
        <f>159123+17049.11</f>
        <v>176172.11</v>
      </c>
      <c r="H138" s="103"/>
      <c r="I138" s="103">
        <f t="shared" ref="I138:I155" si="4">SUM(E138:H138)</f>
        <v>176172.11</v>
      </c>
    </row>
    <row r="139" spans="1:9" ht="15.75">
      <c r="A139" s="111">
        <f t="shared" ref="A139:A149" si="5">SUM(1+A138)</f>
        <v>131</v>
      </c>
      <c r="B139" s="104" t="s">
        <v>352</v>
      </c>
      <c r="C139" s="102" t="s">
        <v>353</v>
      </c>
      <c r="D139" s="112" t="s">
        <v>139</v>
      </c>
      <c r="E139" s="103">
        <v>0</v>
      </c>
      <c r="F139" s="103">
        <v>0</v>
      </c>
      <c r="G139" s="103"/>
      <c r="H139" s="103"/>
      <c r="I139" s="103">
        <f t="shared" si="4"/>
        <v>0</v>
      </c>
    </row>
    <row r="140" spans="1:9" ht="15.75">
      <c r="A140" s="111">
        <f t="shared" si="5"/>
        <v>132</v>
      </c>
      <c r="B140" s="104" t="s">
        <v>354</v>
      </c>
      <c r="C140" s="102" t="s">
        <v>338</v>
      </c>
      <c r="D140" s="112" t="s">
        <v>139</v>
      </c>
      <c r="E140" s="103">
        <v>0</v>
      </c>
      <c r="F140" s="103">
        <f>128590-70700-15300-42590</f>
        <v>0</v>
      </c>
      <c r="G140" s="103">
        <v>21800</v>
      </c>
      <c r="H140" s="103">
        <v>201200</v>
      </c>
      <c r="I140" s="103">
        <f t="shared" si="4"/>
        <v>223000</v>
      </c>
    </row>
    <row r="141" spans="1:9" ht="15.75">
      <c r="A141" s="111">
        <f t="shared" si="5"/>
        <v>133</v>
      </c>
      <c r="B141" s="104" t="s">
        <v>355</v>
      </c>
      <c r="C141" s="102" t="s">
        <v>338</v>
      </c>
      <c r="D141" s="112" t="s">
        <v>139</v>
      </c>
      <c r="E141" s="103">
        <v>0</v>
      </c>
      <c r="F141" s="103">
        <v>0</v>
      </c>
      <c r="G141" s="103"/>
      <c r="H141" s="103"/>
      <c r="I141" s="103">
        <f t="shared" si="4"/>
        <v>0</v>
      </c>
    </row>
    <row r="142" spans="1:9" ht="15.75">
      <c r="A142" s="111">
        <f t="shared" si="5"/>
        <v>134</v>
      </c>
      <c r="B142" s="104" t="s">
        <v>356</v>
      </c>
      <c r="C142" s="108" t="s">
        <v>357</v>
      </c>
      <c r="D142" s="112" t="s">
        <v>139</v>
      </c>
      <c r="E142" s="103">
        <v>0</v>
      </c>
      <c r="F142" s="103">
        <v>0</v>
      </c>
      <c r="G142" s="103"/>
      <c r="H142" s="103"/>
      <c r="I142" s="103">
        <f t="shared" si="4"/>
        <v>0</v>
      </c>
    </row>
    <row r="143" spans="1:9" ht="15.75">
      <c r="A143" s="111">
        <f t="shared" si="5"/>
        <v>135</v>
      </c>
      <c r="B143" s="104" t="s">
        <v>358</v>
      </c>
      <c r="C143" s="108" t="s">
        <v>359</v>
      </c>
      <c r="D143" s="112" t="s">
        <v>139</v>
      </c>
      <c r="E143" s="103">
        <v>0</v>
      </c>
      <c r="F143" s="103">
        <v>0</v>
      </c>
      <c r="G143" s="103"/>
      <c r="H143" s="103"/>
      <c r="I143" s="103">
        <f t="shared" si="4"/>
        <v>0</v>
      </c>
    </row>
    <row r="144" spans="1:9" ht="15.75">
      <c r="A144" s="111">
        <f t="shared" si="5"/>
        <v>136</v>
      </c>
      <c r="B144" s="104" t="s">
        <v>360</v>
      </c>
      <c r="C144" s="102" t="s">
        <v>338</v>
      </c>
      <c r="D144" s="112" t="s">
        <v>139</v>
      </c>
      <c r="E144" s="103">
        <v>0</v>
      </c>
      <c r="F144" s="103">
        <v>0</v>
      </c>
      <c r="G144" s="103"/>
      <c r="H144" s="103"/>
      <c r="I144" s="103">
        <f t="shared" si="4"/>
        <v>0</v>
      </c>
    </row>
    <row r="145" spans="1:9" ht="15.75">
      <c r="A145" s="111">
        <f t="shared" si="5"/>
        <v>137</v>
      </c>
      <c r="B145" s="104" t="s">
        <v>361</v>
      </c>
      <c r="C145" s="102" t="s">
        <v>362</v>
      </c>
      <c r="D145" s="112" t="s">
        <v>139</v>
      </c>
      <c r="E145" s="103">
        <v>0</v>
      </c>
      <c r="F145" s="103">
        <f>18500-18500</f>
        <v>0</v>
      </c>
      <c r="G145" s="103"/>
      <c r="H145" s="103"/>
      <c r="I145" s="103">
        <f t="shared" si="4"/>
        <v>0</v>
      </c>
    </row>
    <row r="146" spans="1:9" ht="15.75">
      <c r="A146" s="111">
        <f t="shared" si="5"/>
        <v>138</v>
      </c>
      <c r="B146" s="104" t="s">
        <v>363</v>
      </c>
      <c r="C146" s="102" t="s">
        <v>364</v>
      </c>
      <c r="D146" s="112" t="s">
        <v>139</v>
      </c>
      <c r="E146" s="103">
        <v>0</v>
      </c>
      <c r="F146" s="103">
        <v>0</v>
      </c>
      <c r="G146" s="103"/>
      <c r="H146" s="103"/>
      <c r="I146" s="103">
        <f t="shared" si="4"/>
        <v>0</v>
      </c>
    </row>
    <row r="147" spans="1:9">
      <c r="A147" s="111">
        <f t="shared" si="5"/>
        <v>139</v>
      </c>
      <c r="B147" s="19" t="s">
        <v>365</v>
      </c>
      <c r="C147" s="102" t="s">
        <v>366</v>
      </c>
      <c r="D147" s="112" t="s">
        <v>139</v>
      </c>
      <c r="E147" s="103">
        <v>0</v>
      </c>
      <c r="F147" s="103">
        <f>335741.3+236477-236477-153220.65-153220.65-29300</f>
        <v>5.8207660913467407E-11</v>
      </c>
      <c r="G147" s="103">
        <f>458769-458769</f>
        <v>0</v>
      </c>
      <c r="H147" s="103">
        <f>72452+378728</f>
        <v>451180</v>
      </c>
      <c r="I147" s="103">
        <f t="shared" si="4"/>
        <v>451180.00000000006</v>
      </c>
    </row>
    <row r="148" spans="1:9" ht="15.75">
      <c r="A148" s="111">
        <f t="shared" si="5"/>
        <v>140</v>
      </c>
      <c r="B148" s="106" t="s">
        <v>367</v>
      </c>
      <c r="C148" s="102" t="s">
        <v>368</v>
      </c>
      <c r="D148" s="112" t="s">
        <v>139</v>
      </c>
      <c r="E148" s="103">
        <v>0</v>
      </c>
      <c r="F148" s="103">
        <v>0</v>
      </c>
      <c r="G148" s="103"/>
      <c r="H148" s="103"/>
      <c r="I148" s="103">
        <f t="shared" si="4"/>
        <v>0</v>
      </c>
    </row>
    <row r="149" spans="1:9" ht="15.75">
      <c r="A149" s="111">
        <f t="shared" si="5"/>
        <v>141</v>
      </c>
      <c r="B149" s="106" t="s">
        <v>369</v>
      </c>
      <c r="C149" s="102" t="s">
        <v>370</v>
      </c>
      <c r="D149" s="112" t="s">
        <v>139</v>
      </c>
      <c r="E149" s="103">
        <v>0</v>
      </c>
      <c r="F149" s="103">
        <f>7500-7500</f>
        <v>0</v>
      </c>
      <c r="G149" s="103">
        <f>410000-410000</f>
        <v>0</v>
      </c>
      <c r="H149" s="103">
        <f>240000+52746</f>
        <v>292746</v>
      </c>
      <c r="I149" s="103">
        <f t="shared" si="4"/>
        <v>292746</v>
      </c>
    </row>
    <row r="150" spans="1:9" ht="15.75">
      <c r="A150" s="111">
        <v>142</v>
      </c>
      <c r="B150" s="106" t="s">
        <v>375</v>
      </c>
      <c r="C150" s="102" t="s">
        <v>376</v>
      </c>
      <c r="D150" s="112" t="s">
        <v>139</v>
      </c>
      <c r="E150" s="103">
        <v>0</v>
      </c>
      <c r="F150" s="103"/>
      <c r="G150" s="103">
        <v>99500</v>
      </c>
      <c r="H150" s="103"/>
      <c r="I150" s="103">
        <f t="shared" si="4"/>
        <v>99500</v>
      </c>
    </row>
    <row r="151" spans="1:9" ht="15.75">
      <c r="A151" s="111">
        <v>143</v>
      </c>
      <c r="B151" s="106" t="s">
        <v>377</v>
      </c>
      <c r="C151" s="102" t="s">
        <v>378</v>
      </c>
      <c r="D151" s="112" t="s">
        <v>139</v>
      </c>
      <c r="E151" s="103">
        <v>0</v>
      </c>
      <c r="F151" s="103"/>
      <c r="G151" s="103">
        <f>10974-10974</f>
        <v>0</v>
      </c>
      <c r="H151" s="103"/>
      <c r="I151" s="103">
        <f t="shared" si="4"/>
        <v>0</v>
      </c>
    </row>
    <row r="152" spans="1:9" ht="15.75">
      <c r="A152" s="111">
        <v>144</v>
      </c>
      <c r="B152" s="106" t="s">
        <v>387</v>
      </c>
      <c r="C152" s="102" t="s">
        <v>388</v>
      </c>
      <c r="D152" s="112" t="s">
        <v>139</v>
      </c>
      <c r="E152" s="103">
        <v>0</v>
      </c>
      <c r="F152" s="103"/>
      <c r="G152" s="103"/>
      <c r="H152" s="103">
        <v>293357.44</v>
      </c>
      <c r="I152" s="103">
        <f t="shared" si="4"/>
        <v>293357.44</v>
      </c>
    </row>
    <row r="153" spans="1:9" ht="15.75">
      <c r="A153" s="111">
        <v>145</v>
      </c>
      <c r="B153" s="106" t="s">
        <v>389</v>
      </c>
      <c r="C153" s="102" t="s">
        <v>388</v>
      </c>
      <c r="D153" s="112" t="s">
        <v>139</v>
      </c>
      <c r="E153" s="103">
        <v>0</v>
      </c>
      <c r="F153" s="103"/>
      <c r="G153" s="103"/>
      <c r="H153" s="103">
        <v>32445.66</v>
      </c>
      <c r="I153" s="103">
        <f t="shared" si="4"/>
        <v>32445.66</v>
      </c>
    </row>
    <row r="154" spans="1:9" ht="15.75">
      <c r="A154" s="111">
        <v>146</v>
      </c>
      <c r="B154" s="106" t="s">
        <v>390</v>
      </c>
      <c r="C154" s="102" t="s">
        <v>388</v>
      </c>
      <c r="D154" s="112" t="s">
        <v>139</v>
      </c>
      <c r="E154" s="103">
        <v>0</v>
      </c>
      <c r="F154" s="103"/>
      <c r="G154" s="103"/>
      <c r="H154" s="103">
        <v>29000</v>
      </c>
      <c r="I154" s="103">
        <f t="shared" si="4"/>
        <v>29000</v>
      </c>
    </row>
    <row r="155" spans="1:9" ht="15.75">
      <c r="A155" s="111">
        <v>147</v>
      </c>
      <c r="B155" s="106" t="s">
        <v>391</v>
      </c>
      <c r="C155" s="102" t="s">
        <v>392</v>
      </c>
      <c r="D155" s="112" t="s">
        <v>139</v>
      </c>
      <c r="E155" s="103">
        <v>0</v>
      </c>
      <c r="F155" s="103"/>
      <c r="G155" s="103"/>
      <c r="H155" s="103">
        <v>455119.33</v>
      </c>
      <c r="I155" s="103">
        <f t="shared" si="4"/>
        <v>455119.33</v>
      </c>
    </row>
    <row r="156" spans="1:9" ht="15.75">
      <c r="A156" s="111"/>
      <c r="B156" s="106"/>
      <c r="C156" s="102"/>
      <c r="D156" s="112" t="s">
        <v>139</v>
      </c>
      <c r="E156" s="103">
        <v>0</v>
      </c>
      <c r="F156" s="103"/>
      <c r="G156" s="103"/>
      <c r="H156" s="103"/>
      <c r="I156" s="103">
        <f>SUM(E156:H156)</f>
        <v>0</v>
      </c>
    </row>
    <row r="157" spans="1:9">
      <c r="A157" s="162" t="s">
        <v>379</v>
      </c>
      <c r="B157" s="163"/>
      <c r="C157" s="163"/>
      <c r="D157" s="163"/>
      <c r="E157" s="113">
        <f>SUM(E9:E156)</f>
        <v>4040647.3400000003</v>
      </c>
      <c r="F157" s="113">
        <f t="shared" ref="F157:G157" si="6">SUM(F9:F156)</f>
        <v>587632.91999999993</v>
      </c>
      <c r="G157" s="113">
        <f t="shared" si="6"/>
        <v>2098285.2400000002</v>
      </c>
      <c r="H157" s="113">
        <f>SUM(H9:H156)</f>
        <v>6206973.0700000003</v>
      </c>
      <c r="I157" s="113">
        <f>SUM(I9:I156)</f>
        <v>12933538.569999998</v>
      </c>
    </row>
    <row r="158" spans="1:9">
      <c r="A158" s="114"/>
      <c r="B158" s="114"/>
      <c r="C158" s="114"/>
      <c r="D158" s="114"/>
      <c r="E158" s="115"/>
      <c r="F158" s="115"/>
      <c r="G158" s="115"/>
      <c r="H158" s="115"/>
      <c r="I158" s="115"/>
    </row>
    <row r="159" spans="1:9">
      <c r="A159" s="114"/>
      <c r="B159" s="114"/>
      <c r="C159" s="114"/>
      <c r="D159" s="114"/>
      <c r="E159" s="115"/>
      <c r="F159" s="115"/>
      <c r="G159" s="115"/>
      <c r="H159" s="115"/>
      <c r="I159" s="115"/>
    </row>
    <row r="160" spans="1:9">
      <c r="A160" s="114"/>
      <c r="B160" s="114"/>
      <c r="C160" s="114"/>
      <c r="D160" s="114"/>
      <c r="E160" s="115"/>
      <c r="F160" s="115"/>
      <c r="G160" s="115"/>
      <c r="H160" s="115"/>
      <c r="I160" s="115"/>
    </row>
    <row r="161" spans="1:9">
      <c r="A161" s="114"/>
      <c r="B161" s="114"/>
      <c r="C161" s="114"/>
      <c r="D161" s="114"/>
      <c r="E161" s="115"/>
      <c r="F161" s="115"/>
      <c r="G161" s="115"/>
      <c r="H161" s="115"/>
      <c r="I161" s="115"/>
    </row>
    <row r="162" spans="1:9">
      <c r="A162" s="114"/>
      <c r="B162" s="114"/>
      <c r="C162" s="114"/>
      <c r="D162" s="114"/>
      <c r="E162" s="115"/>
      <c r="F162" s="115"/>
      <c r="G162" s="115"/>
      <c r="H162" s="115"/>
      <c r="I162" s="115"/>
    </row>
    <row r="163" spans="1:9">
      <c r="A163" s="114"/>
      <c r="B163" s="114"/>
      <c r="C163" s="114"/>
      <c r="D163" s="114"/>
      <c r="E163" s="115"/>
      <c r="F163" s="115"/>
      <c r="G163" s="115"/>
      <c r="H163" s="115"/>
      <c r="I163" s="115"/>
    </row>
    <row r="165" spans="1:9" ht="15.75">
      <c r="B165" s="109" t="s">
        <v>371</v>
      </c>
      <c r="C165" s="164" t="s">
        <v>372</v>
      </c>
      <c r="D165" s="164"/>
    </row>
  </sheetData>
  <mergeCells count="2">
    <mergeCell ref="A157:D157"/>
    <mergeCell ref="C165:D16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5"/>
  <sheetViews>
    <sheetView workbookViewId="0">
      <selection sqref="A1:L162"/>
    </sheetView>
  </sheetViews>
  <sheetFormatPr baseColWidth="10" defaultRowHeight="15"/>
  <cols>
    <col min="2" max="2" width="70.140625" bestFit="1" customWidth="1"/>
    <col min="11" max="11" width="14.140625" bestFit="1" customWidth="1"/>
  </cols>
  <sheetData>
    <row r="1" spans="1:11">
      <c r="A1" s="165" t="s">
        <v>393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</row>
    <row r="2" spans="1:11">
      <c r="A2" s="166" t="s">
        <v>394</v>
      </c>
      <c r="B2" s="166"/>
      <c r="C2" s="166"/>
      <c r="D2" s="166"/>
      <c r="E2" s="166"/>
      <c r="F2" s="166"/>
      <c r="G2" s="166"/>
      <c r="H2" s="166"/>
      <c r="I2" s="166"/>
      <c r="J2" s="167"/>
      <c r="K2" s="166"/>
    </row>
    <row r="3" spans="1:11">
      <c r="A3" s="168" t="s">
        <v>395</v>
      </c>
      <c r="B3" s="169" t="s">
        <v>132</v>
      </c>
      <c r="C3" s="170" t="s">
        <v>396</v>
      </c>
      <c r="D3" s="171"/>
      <c r="E3" s="171"/>
      <c r="F3" s="171"/>
      <c r="G3" s="171"/>
      <c r="H3" s="171"/>
      <c r="I3" s="171"/>
      <c r="J3" s="172"/>
      <c r="K3" s="173" t="s">
        <v>397</v>
      </c>
    </row>
    <row r="4" spans="1:11">
      <c r="A4" s="174"/>
      <c r="B4" s="175"/>
      <c r="C4" s="176" t="s">
        <v>398</v>
      </c>
      <c r="D4" s="177" t="s">
        <v>399</v>
      </c>
      <c r="E4" s="177">
        <v>2020</v>
      </c>
      <c r="F4" s="177">
        <v>2021</v>
      </c>
      <c r="G4" s="177">
        <v>2022</v>
      </c>
      <c r="H4" s="177">
        <v>2023</v>
      </c>
      <c r="I4" s="178">
        <v>2024</v>
      </c>
      <c r="J4" s="179">
        <v>2025</v>
      </c>
      <c r="K4" s="180"/>
    </row>
    <row r="5" spans="1:11" ht="15.75">
      <c r="A5" s="181">
        <v>1</v>
      </c>
      <c r="B5" s="182" t="s">
        <v>137</v>
      </c>
      <c r="C5" s="183"/>
      <c r="D5" s="184">
        <v>316785</v>
      </c>
      <c r="E5" s="185">
        <v>154965</v>
      </c>
      <c r="F5" s="186">
        <v>0</v>
      </c>
      <c r="G5" s="186">
        <v>0</v>
      </c>
      <c r="H5" s="186"/>
      <c r="I5" s="187"/>
      <c r="J5" s="187"/>
      <c r="K5" s="188">
        <f t="shared" ref="K5:K36" si="0">SUM(C5:J5)</f>
        <v>471750</v>
      </c>
    </row>
    <row r="6" spans="1:11" ht="15.75">
      <c r="A6" s="181">
        <f>SUM(A5+1)</f>
        <v>2</v>
      </c>
      <c r="B6" s="189" t="s">
        <v>140</v>
      </c>
      <c r="C6" s="183"/>
      <c r="D6" s="184">
        <v>0</v>
      </c>
      <c r="E6" s="185">
        <v>115708.4</v>
      </c>
      <c r="F6" s="186">
        <v>0</v>
      </c>
      <c r="G6" s="186">
        <f>5782-5782</f>
        <v>0</v>
      </c>
      <c r="H6" s="186">
        <f>28062.76-28062.76</f>
        <v>0</v>
      </c>
      <c r="I6" s="187">
        <f>35038.92+7285.32-7285.32-7285.32-22896.72+2428.44-2428.44-4856.88</f>
        <v>0</v>
      </c>
      <c r="J6" s="187"/>
      <c r="K6" s="188">
        <f t="shared" si="0"/>
        <v>115708.4</v>
      </c>
    </row>
    <row r="7" spans="1:11" ht="15.75">
      <c r="A7" s="181">
        <f t="shared" ref="A7:A70" si="1">SUM(A6+1)</f>
        <v>3</v>
      </c>
      <c r="B7" s="182" t="s">
        <v>142</v>
      </c>
      <c r="C7" s="183"/>
      <c r="D7" s="184">
        <v>91403.98</v>
      </c>
      <c r="E7" s="185">
        <v>43860.6</v>
      </c>
      <c r="F7" s="186">
        <v>0</v>
      </c>
      <c r="G7" s="186">
        <v>0</v>
      </c>
      <c r="H7" s="186"/>
      <c r="I7" s="187"/>
      <c r="J7" s="187"/>
      <c r="K7" s="188">
        <f t="shared" si="0"/>
        <v>135264.57999999999</v>
      </c>
    </row>
    <row r="8" spans="1:11" ht="15.75">
      <c r="A8" s="181">
        <f t="shared" si="1"/>
        <v>4</v>
      </c>
      <c r="B8" s="182" t="s">
        <v>144</v>
      </c>
      <c r="C8" s="183"/>
      <c r="D8" s="184">
        <v>42240</v>
      </c>
      <c r="E8" s="185">
        <v>0</v>
      </c>
      <c r="F8" s="186">
        <v>0</v>
      </c>
      <c r="G8" s="186">
        <v>0</v>
      </c>
      <c r="H8" s="186"/>
      <c r="I8" s="187"/>
      <c r="J8" s="187"/>
      <c r="K8" s="188">
        <f t="shared" si="0"/>
        <v>42240</v>
      </c>
    </row>
    <row r="9" spans="1:11" ht="15.75">
      <c r="A9" s="181">
        <f t="shared" si="1"/>
        <v>5</v>
      </c>
      <c r="B9" s="182" t="s">
        <v>146</v>
      </c>
      <c r="C9" s="183"/>
      <c r="D9" s="184">
        <v>123786</v>
      </c>
      <c r="E9" s="185">
        <v>0</v>
      </c>
      <c r="F9" s="186">
        <v>0</v>
      </c>
      <c r="G9" s="186">
        <v>0</v>
      </c>
      <c r="H9" s="186"/>
      <c r="I9" s="187"/>
      <c r="J9" s="187"/>
      <c r="K9" s="188">
        <f t="shared" si="0"/>
        <v>123786</v>
      </c>
    </row>
    <row r="10" spans="1:11" ht="15.75">
      <c r="A10" s="181">
        <f t="shared" si="1"/>
        <v>6</v>
      </c>
      <c r="B10" s="182" t="s">
        <v>147</v>
      </c>
      <c r="C10" s="183"/>
      <c r="D10" s="184">
        <v>87036.4</v>
      </c>
      <c r="E10" s="185">
        <v>0</v>
      </c>
      <c r="F10" s="186">
        <v>0</v>
      </c>
      <c r="G10" s="186">
        <v>0</v>
      </c>
      <c r="H10" s="186"/>
      <c r="I10" s="187"/>
      <c r="J10" s="187"/>
      <c r="K10" s="188">
        <f t="shared" si="0"/>
        <v>87036.4</v>
      </c>
    </row>
    <row r="11" spans="1:11" ht="15.75">
      <c r="A11" s="181">
        <f t="shared" si="1"/>
        <v>7</v>
      </c>
      <c r="B11" s="182" t="s">
        <v>149</v>
      </c>
      <c r="C11" s="183"/>
      <c r="D11" s="184">
        <v>51212</v>
      </c>
      <c r="E11" s="185">
        <v>0</v>
      </c>
      <c r="F11" s="186">
        <v>0</v>
      </c>
      <c r="G11" s="186">
        <v>0</v>
      </c>
      <c r="H11" s="186"/>
      <c r="I11" s="187"/>
      <c r="J11" s="187"/>
      <c r="K11" s="188">
        <f t="shared" si="0"/>
        <v>51212</v>
      </c>
    </row>
    <row r="12" spans="1:11" ht="15.75">
      <c r="A12" s="181">
        <f t="shared" si="1"/>
        <v>8</v>
      </c>
      <c r="B12" s="190" t="s">
        <v>151</v>
      </c>
      <c r="C12" s="183"/>
      <c r="D12" s="184">
        <v>625243.25</v>
      </c>
      <c r="E12" s="185">
        <v>0</v>
      </c>
      <c r="F12" s="186">
        <v>0</v>
      </c>
      <c r="G12" s="186">
        <v>0</v>
      </c>
      <c r="H12" s="186"/>
      <c r="I12" s="187"/>
      <c r="J12" s="187"/>
      <c r="K12" s="188">
        <f t="shared" si="0"/>
        <v>625243.25</v>
      </c>
    </row>
    <row r="13" spans="1:11" ht="15.75">
      <c r="A13" s="181">
        <f t="shared" si="1"/>
        <v>9</v>
      </c>
      <c r="B13" s="190" t="s">
        <v>153</v>
      </c>
      <c r="C13" s="183"/>
      <c r="D13" s="184">
        <v>32630</v>
      </c>
      <c r="E13" s="185">
        <v>0</v>
      </c>
      <c r="F13" s="186">
        <v>0</v>
      </c>
      <c r="G13" s="186">
        <v>0</v>
      </c>
      <c r="H13" s="186"/>
      <c r="I13" s="187"/>
      <c r="J13" s="187"/>
      <c r="K13" s="188">
        <f t="shared" si="0"/>
        <v>32630</v>
      </c>
    </row>
    <row r="14" spans="1:11" ht="15.75">
      <c r="A14" s="181">
        <f t="shared" si="1"/>
        <v>10</v>
      </c>
      <c r="B14" s="191" t="s">
        <v>155</v>
      </c>
      <c r="C14" s="183"/>
      <c r="D14" s="184">
        <v>45215</v>
      </c>
      <c r="E14" s="185">
        <v>0</v>
      </c>
      <c r="F14" s="186">
        <v>0</v>
      </c>
      <c r="G14" s="186">
        <v>0</v>
      </c>
      <c r="H14" s="186"/>
      <c r="I14" s="187"/>
      <c r="J14" s="187"/>
      <c r="K14" s="188">
        <f t="shared" si="0"/>
        <v>45215</v>
      </c>
    </row>
    <row r="15" spans="1:11" ht="15.75">
      <c r="A15" s="181">
        <f t="shared" si="1"/>
        <v>11</v>
      </c>
      <c r="B15" s="192" t="s">
        <v>157</v>
      </c>
      <c r="C15" s="183"/>
      <c r="D15" s="184">
        <v>147968.25</v>
      </c>
      <c r="E15" s="185">
        <v>0</v>
      </c>
      <c r="F15" s="186">
        <v>0</v>
      </c>
      <c r="G15" s="186">
        <v>0</v>
      </c>
      <c r="H15" s="186"/>
      <c r="I15" s="187"/>
      <c r="J15" s="187"/>
      <c r="K15" s="188">
        <f t="shared" si="0"/>
        <v>147968.25</v>
      </c>
    </row>
    <row r="16" spans="1:11" ht="15.75">
      <c r="A16" s="181">
        <f t="shared" si="1"/>
        <v>12</v>
      </c>
      <c r="B16" s="192" t="s">
        <v>159</v>
      </c>
      <c r="C16" s="183"/>
      <c r="D16" s="184">
        <v>59883.28</v>
      </c>
      <c r="E16" s="185">
        <v>0</v>
      </c>
      <c r="F16" s="186">
        <v>0</v>
      </c>
      <c r="G16" s="186">
        <v>0</v>
      </c>
      <c r="H16" s="186"/>
      <c r="I16" s="187"/>
      <c r="J16" s="187"/>
      <c r="K16" s="188">
        <f t="shared" si="0"/>
        <v>59883.28</v>
      </c>
    </row>
    <row r="17" spans="1:11" ht="15.75">
      <c r="A17" s="181">
        <f t="shared" si="1"/>
        <v>13</v>
      </c>
      <c r="B17" s="192" t="s">
        <v>161</v>
      </c>
      <c r="C17" s="183"/>
      <c r="D17" s="184">
        <v>135016.78</v>
      </c>
      <c r="E17" s="185">
        <v>0</v>
      </c>
      <c r="F17" s="186">
        <v>0</v>
      </c>
      <c r="G17" s="186">
        <v>0</v>
      </c>
      <c r="H17" s="186"/>
      <c r="I17" s="187"/>
      <c r="J17" s="187"/>
      <c r="K17" s="188">
        <f t="shared" si="0"/>
        <v>135016.78</v>
      </c>
    </row>
    <row r="18" spans="1:11" ht="15.75">
      <c r="A18" s="181">
        <f t="shared" si="1"/>
        <v>14</v>
      </c>
      <c r="B18" s="192" t="s">
        <v>163</v>
      </c>
      <c r="C18" s="183"/>
      <c r="D18" s="184">
        <v>1400</v>
      </c>
      <c r="E18" s="185">
        <v>0</v>
      </c>
      <c r="F18" s="186">
        <v>0</v>
      </c>
      <c r="G18" s="186">
        <v>0</v>
      </c>
      <c r="H18" s="186"/>
      <c r="I18" s="187"/>
      <c r="J18" s="187"/>
      <c r="K18" s="188">
        <f t="shared" si="0"/>
        <v>1400</v>
      </c>
    </row>
    <row r="19" spans="1:11" ht="15.75">
      <c r="A19" s="181">
        <f t="shared" si="1"/>
        <v>15</v>
      </c>
      <c r="B19" s="192" t="s">
        <v>165</v>
      </c>
      <c r="C19" s="183"/>
      <c r="D19" s="184">
        <v>44000</v>
      </c>
      <c r="E19" s="185">
        <v>0</v>
      </c>
      <c r="F19" s="186">
        <v>0</v>
      </c>
      <c r="G19" s="186">
        <v>0</v>
      </c>
      <c r="H19" s="186"/>
      <c r="I19" s="187"/>
      <c r="J19" s="187"/>
      <c r="K19" s="188">
        <f t="shared" si="0"/>
        <v>44000</v>
      </c>
    </row>
    <row r="20" spans="1:11" ht="15.75">
      <c r="A20" s="181">
        <f t="shared" si="1"/>
        <v>16</v>
      </c>
      <c r="B20" s="192" t="s">
        <v>167</v>
      </c>
      <c r="C20" s="183"/>
      <c r="D20" s="184">
        <v>0</v>
      </c>
      <c r="E20" s="185">
        <v>22840</v>
      </c>
      <c r="F20" s="186">
        <v>0</v>
      </c>
      <c r="G20" s="186">
        <v>0</v>
      </c>
      <c r="H20" s="186"/>
      <c r="I20" s="187"/>
      <c r="J20" s="187"/>
      <c r="K20" s="188">
        <f t="shared" si="0"/>
        <v>22840</v>
      </c>
    </row>
    <row r="21" spans="1:11" ht="15.75">
      <c r="A21" s="181">
        <f t="shared" si="1"/>
        <v>17</v>
      </c>
      <c r="B21" s="192" t="s">
        <v>169</v>
      </c>
      <c r="C21" s="183"/>
      <c r="D21" s="184">
        <v>5664</v>
      </c>
      <c r="E21" s="185">
        <v>0</v>
      </c>
      <c r="F21" s="186">
        <v>0</v>
      </c>
      <c r="G21" s="186">
        <v>0</v>
      </c>
      <c r="H21" s="186"/>
      <c r="I21" s="187"/>
      <c r="J21" s="187"/>
      <c r="K21" s="188">
        <f t="shared" si="0"/>
        <v>5664</v>
      </c>
    </row>
    <row r="22" spans="1:11" ht="15.75">
      <c r="A22" s="181">
        <f t="shared" si="1"/>
        <v>18</v>
      </c>
      <c r="B22" s="192" t="s">
        <v>171</v>
      </c>
      <c r="C22" s="183"/>
      <c r="D22" s="184">
        <v>120200</v>
      </c>
      <c r="E22" s="185">
        <v>0</v>
      </c>
      <c r="F22" s="186">
        <v>0</v>
      </c>
      <c r="G22" s="186">
        <v>0</v>
      </c>
      <c r="H22" s="186"/>
      <c r="I22" s="187"/>
      <c r="J22" s="187"/>
      <c r="K22" s="188">
        <f t="shared" si="0"/>
        <v>120200</v>
      </c>
    </row>
    <row r="23" spans="1:11" ht="15.75">
      <c r="A23" s="181">
        <f t="shared" si="1"/>
        <v>19</v>
      </c>
      <c r="B23" s="192" t="s">
        <v>172</v>
      </c>
      <c r="C23" s="183"/>
      <c r="D23" s="184">
        <v>55530</v>
      </c>
      <c r="E23" s="185">
        <v>0</v>
      </c>
      <c r="F23" s="186">
        <v>0</v>
      </c>
      <c r="G23" s="186">
        <v>0</v>
      </c>
      <c r="H23" s="186"/>
      <c r="I23" s="187"/>
      <c r="J23" s="187"/>
      <c r="K23" s="188">
        <f t="shared" si="0"/>
        <v>55530</v>
      </c>
    </row>
    <row r="24" spans="1:11" ht="15.75">
      <c r="A24" s="181">
        <f t="shared" si="1"/>
        <v>20</v>
      </c>
      <c r="B24" s="192" t="s">
        <v>173</v>
      </c>
      <c r="C24" s="183"/>
      <c r="D24" s="184">
        <v>0</v>
      </c>
      <c r="E24" s="185">
        <v>0</v>
      </c>
      <c r="F24" s="186">
        <v>0</v>
      </c>
      <c r="G24" s="186">
        <v>0</v>
      </c>
      <c r="H24" s="186"/>
      <c r="I24" s="187"/>
      <c r="J24" s="187"/>
      <c r="K24" s="188">
        <f t="shared" si="0"/>
        <v>0</v>
      </c>
    </row>
    <row r="25" spans="1:11" ht="15.75">
      <c r="A25" s="181">
        <f t="shared" si="1"/>
        <v>21</v>
      </c>
      <c r="B25" s="192" t="s">
        <v>175</v>
      </c>
      <c r="C25" s="183"/>
      <c r="D25" s="184">
        <v>0</v>
      </c>
      <c r="E25" s="185">
        <v>0</v>
      </c>
      <c r="F25" s="186">
        <v>0</v>
      </c>
      <c r="G25" s="186">
        <f>91040.43+19588.27</f>
        <v>110628.7</v>
      </c>
      <c r="H25" s="186">
        <f>2561554.19-314264.39-353624.33-251744.98+44221.97+61587.4-119857.4-61587.4-61587.4-61587.4-44221.97-64751.1-61587.4+294404.64+41058.27-312155.27-65079.68+61587.4-61587.4+65805.67-65805.67-42268.62-61726.17-42268.62-85655.07-79627.11-22638.26-22638.26+20529.13-20529.13-22638.26-20529.13+41058.27-41058.27-41058.27-61726.17</f>
        <v>728003.80999999994</v>
      </c>
      <c r="I25" s="187">
        <f>66197.52+66573.03+65079.68-65079.68+63961.84+226329.29-226329.29+85655.07+42268.62+41150.78-41150.78+42268.62+82301.56-82301.56+61726.17+65552.3+82301.56-82301.56+41150.78-41150.78+82301.56+61726.17+41150.78-281269.62+41150.78+84537.23+83419.4+41150.78+41150.78+61726.17-65805.67+41150.78+61726.17+65079.68+82301.56-66197.52+41150.78+42268.62+89899.58+41150.78+82301.58+41150.78-41150.78-268597.91+102876.95+61726.17-61726.17+82301.56+41150.78-41150.78+41150.78-41150.78+61726.17+61726.17+103994.79+82301.56+46739.97+62844.01+44504.29+41150.78-41150.78+61726.17+42268.62-42268.62+84537.23+43386.45+255832.33+65552.3+65552.3+43701.53+115275.32+87403.07-625086.57-61726.17-82301.56-65552.3-65552.3-87403.08-65552.3-43701.53-43386.45-84537.23-42268.62-20529+20529.13-20529.13-20529.13-47706.56+85280.23-85280.23-82301.56-41150.78</f>
        <v>890372.65999999922</v>
      </c>
      <c r="J25" s="187">
        <f>160912.9+21850.77+21850.77+24259.37+6206.42+26667.95+23055.07+21850.77+23055.08+24259.37+21850.77+24259.37-41150.78+41058.27-41058.27-83419.4-24991.1-21850.77-21850.77-25463.65-21850.77-23055.07-21850.77+22897.55+22897.55+21850.77</f>
        <v>182241.40000000005</v>
      </c>
      <c r="K25" s="188">
        <f t="shared" si="0"/>
        <v>1911246.5699999991</v>
      </c>
    </row>
    <row r="26" spans="1:11" ht="15.75">
      <c r="A26" s="181">
        <f t="shared" si="1"/>
        <v>22</v>
      </c>
      <c r="B26" s="192" t="s">
        <v>176</v>
      </c>
      <c r="C26" s="183"/>
      <c r="D26" s="184">
        <v>0</v>
      </c>
      <c r="E26" s="185">
        <v>0</v>
      </c>
      <c r="F26" s="186">
        <v>0</v>
      </c>
      <c r="G26" s="186">
        <v>0</v>
      </c>
      <c r="H26" s="186">
        <v>0</v>
      </c>
      <c r="I26" s="187">
        <f>351720.58+98747.03+6592.66-94298.62-82950.72-83064.9+71051.27+101729.5+150155.2+99024.54-91406.34+19492.42+30436.69-278120.46+2720.14+245840.56-301828.99+128016.98+126152.8+115311.03-96686-128016.98+145369.8+101729.5+3174.2-254058.26-241463.83-145369.8+61789.16+114286+4978+380334.69-66767.16+204672.49+371273.79+20174+20758.1-699293.18-20174-392031.89+379750.59+204672.49-204672.49+20758.1-20758.1-379750.59+156877.4-156877.4+314044.99-314044.99</f>
        <v>0</v>
      </c>
      <c r="J26" s="187">
        <f>84298.1-84298.1+370526.03-370526.03+65233.92-65233.92+349970.52-349970.52+123014.92-123014.92+75000-75000+15000-15000+369045.1+168538.74-168538.74+236267.37+418538.73-369045.1+400098.62-400098.62+15000-15000+673862.71-673862.71-647257.1+28814.76-28814.76+323125.39-323125.39+30000+1135723.61-7549</f>
        <v>1165723.6100000003</v>
      </c>
      <c r="K26" s="188">
        <f t="shared" si="0"/>
        <v>1165723.6100000003</v>
      </c>
    </row>
    <row r="27" spans="1:11" ht="15.75">
      <c r="A27" s="181">
        <f t="shared" si="1"/>
        <v>23</v>
      </c>
      <c r="B27" s="193" t="s">
        <v>178</v>
      </c>
      <c r="C27" s="183"/>
      <c r="D27" s="184">
        <v>0</v>
      </c>
      <c r="E27" s="185">
        <v>0</v>
      </c>
      <c r="F27" s="186">
        <v>0</v>
      </c>
      <c r="G27" s="186">
        <v>0</v>
      </c>
      <c r="H27" s="186">
        <v>0</v>
      </c>
      <c r="I27" s="187">
        <f>5091+39515.13+113386.26+51661.66-3600-206054.05</f>
        <v>0</v>
      </c>
      <c r="J27" s="187"/>
      <c r="K27" s="188">
        <f t="shared" si="0"/>
        <v>0</v>
      </c>
    </row>
    <row r="28" spans="1:11" ht="15.75">
      <c r="A28" s="181">
        <f t="shared" si="1"/>
        <v>24</v>
      </c>
      <c r="B28" s="193" t="s">
        <v>180</v>
      </c>
      <c r="C28" s="183"/>
      <c r="D28" s="184">
        <v>0</v>
      </c>
      <c r="E28" s="185">
        <v>0</v>
      </c>
      <c r="F28" s="186">
        <v>0</v>
      </c>
      <c r="G28" s="186">
        <v>0</v>
      </c>
      <c r="H28" s="186"/>
      <c r="I28" s="187">
        <f>122997.5+35935-158932.5+11100+26190+26645+22055+2499+7715+77772.5+28480+26269+23130-217871.5+28585+70535+33680+8750+43800+25635-211619+32530+-7715+36510+39906+81053+32615+22510-215634+80857+34835+34865+41800+34830+3240-3240+81140-170817-192635+319195-319195+749006.18+130806.82-130806.82+77834-77834-749006.18</f>
        <v>0</v>
      </c>
      <c r="J28" s="187">
        <f>116248-116248+176388.64+48530-48530+148115.7-148115.7+145355-145355+123975-123975-176388.64+85425-85425+186246-186246+74460-74460+181559-181559+104422.9+60315+184276.1+136604-164737.9+54930-375810.1+161368-161368+212832.9-212832.9+57956-57956+98090-98090+279450.55+149160-149160+33920-33920+120048.3+19785+45585</f>
        <v>464868.85</v>
      </c>
      <c r="K28" s="188">
        <f t="shared" si="0"/>
        <v>464868.85</v>
      </c>
    </row>
    <row r="29" spans="1:11" ht="15.75">
      <c r="A29" s="181">
        <f t="shared" si="1"/>
        <v>25</v>
      </c>
      <c r="B29" s="193" t="s">
        <v>181</v>
      </c>
      <c r="C29" s="183"/>
      <c r="D29" s="184">
        <v>0</v>
      </c>
      <c r="E29" s="185">
        <v>0</v>
      </c>
      <c r="F29" s="186">
        <v>0</v>
      </c>
      <c r="G29" s="186">
        <v>0</v>
      </c>
      <c r="H29" s="186">
        <f>109743-36911.4-72831.6</f>
        <v>0</v>
      </c>
      <c r="I29" s="187">
        <f>11250+23125+8344-11250-31469+77475-77475</f>
        <v>0</v>
      </c>
      <c r="J29" s="187">
        <f>251577.05-251577.05+17820-17820+2775.36</f>
        <v>2775.36</v>
      </c>
      <c r="K29" s="188">
        <f t="shared" si="0"/>
        <v>2775.36</v>
      </c>
    </row>
    <row r="30" spans="1:11" ht="15.75">
      <c r="A30" s="181">
        <f t="shared" si="1"/>
        <v>26</v>
      </c>
      <c r="B30" s="106" t="s">
        <v>182</v>
      </c>
      <c r="C30" s="183"/>
      <c r="D30" s="184">
        <v>0</v>
      </c>
      <c r="E30" s="185">
        <v>0</v>
      </c>
      <c r="F30" s="186">
        <v>0</v>
      </c>
      <c r="G30" s="186">
        <v>0</v>
      </c>
      <c r="H30" s="186"/>
      <c r="I30" s="187">
        <f>103805+21770+13960+21545-125575+21545+14615+40200+21545+14680+50920+14525+22045+11480+21980+21775+13630+13430+21520+2685+21575+2000+21640+13925-213535-187685+13750+21775+15840+20915+17785+17685+5430-107750+12775+22375+12645+21695+21795+12830+33550+12290+22395+11210+9500+24060+40050+23370+14510+23820+15320+8335+23595+15645+2628-187025-152595+15295+23595-57163-31930+150545-150545+215335-215335+256442.5-256442.5+81625-81625</f>
        <v>0</v>
      </c>
      <c r="J30" s="187">
        <f>276820-276820+287865-287865+220425-220425+461870+244250-461870-244250+18840-18840+338395-338395+251600-251600+431190</f>
        <v>431190</v>
      </c>
      <c r="K30" s="188">
        <f t="shared" si="0"/>
        <v>431190</v>
      </c>
    </row>
    <row r="31" spans="1:11" ht="15.75">
      <c r="A31" s="181">
        <f t="shared" si="1"/>
        <v>27</v>
      </c>
      <c r="B31" s="106" t="s">
        <v>183</v>
      </c>
      <c r="C31" s="183"/>
      <c r="D31" s="184">
        <v>0</v>
      </c>
      <c r="E31" s="185">
        <v>0</v>
      </c>
      <c r="F31" s="186">
        <v>0</v>
      </c>
      <c r="G31" s="186">
        <v>0</v>
      </c>
      <c r="H31" s="186">
        <v>0</v>
      </c>
      <c r="I31" s="187">
        <f>20237+84075+103500-20237-45135+8968-151408+112566+70000-112566+152326.8+116580+57925-338906.8+21500-21500+36000-57925+87320+382025-382025+78750-78750-87320-36000</f>
        <v>0</v>
      </c>
      <c r="J31" s="187">
        <f>77748+23010-23010+123500-123500-77748+18075-18075</f>
        <v>0</v>
      </c>
      <c r="K31" s="188">
        <f t="shared" si="0"/>
        <v>0</v>
      </c>
    </row>
    <row r="32" spans="1:11" ht="15.75">
      <c r="A32" s="181">
        <f t="shared" si="1"/>
        <v>28</v>
      </c>
      <c r="B32" s="106" t="s">
        <v>185</v>
      </c>
      <c r="C32" s="183"/>
      <c r="D32" s="184">
        <v>0</v>
      </c>
      <c r="E32" s="185">
        <v>0</v>
      </c>
      <c r="F32" s="186">
        <v>0</v>
      </c>
      <c r="G32" s="186">
        <v>0</v>
      </c>
      <c r="H32" s="186">
        <f>275164.2-178522.2+35962.47-96642+85515.49-53721.47-67756.49</f>
        <v>0</v>
      </c>
      <c r="I32" s="187">
        <f>42008+82917+17759+117874.5-42008-200791.5+88350-106109</f>
        <v>0</v>
      </c>
      <c r="J32" s="187"/>
      <c r="K32" s="188">
        <f t="shared" si="0"/>
        <v>0</v>
      </c>
    </row>
    <row r="33" spans="1:11" ht="15.75">
      <c r="A33" s="181">
        <f t="shared" si="1"/>
        <v>29</v>
      </c>
      <c r="B33" s="192" t="s">
        <v>187</v>
      </c>
      <c r="C33" s="183"/>
      <c r="D33" s="184">
        <v>0</v>
      </c>
      <c r="E33" s="185">
        <v>0</v>
      </c>
      <c r="F33" s="186">
        <v>0</v>
      </c>
      <c r="G33" s="186">
        <v>0</v>
      </c>
      <c r="H33" s="186">
        <f>155875-155875</f>
        <v>0</v>
      </c>
      <c r="I33" s="187">
        <f>69804-69804+38940+48108+26196+715949-113244-715949</f>
        <v>0</v>
      </c>
      <c r="J33" s="187">
        <f>337425-337425+30632.8-30632.8+145000-145000+21500-21500</f>
        <v>0</v>
      </c>
      <c r="K33" s="188">
        <f t="shared" si="0"/>
        <v>0</v>
      </c>
    </row>
    <row r="34" spans="1:11" ht="15.75">
      <c r="A34" s="181">
        <f t="shared" si="1"/>
        <v>30</v>
      </c>
      <c r="B34" s="192" t="s">
        <v>188</v>
      </c>
      <c r="C34" s="183"/>
      <c r="D34" s="184">
        <v>0</v>
      </c>
      <c r="E34" s="185">
        <v>0</v>
      </c>
      <c r="F34" s="186">
        <v>0</v>
      </c>
      <c r="G34" s="186">
        <v>0</v>
      </c>
      <c r="H34" s="186">
        <v>0</v>
      </c>
      <c r="I34" s="187">
        <f>87371.5+17680+2520+39920+16450+9950+34935+34245-208826.5+37280+48555+33830+9610+44690+16000+45395-153910-115695+101875-101875</f>
        <v>0</v>
      </c>
      <c r="J34" s="187">
        <v>425000</v>
      </c>
      <c r="K34" s="188">
        <f t="shared" si="0"/>
        <v>425000</v>
      </c>
    </row>
    <row r="35" spans="1:11" ht="15.75">
      <c r="A35" s="181">
        <f t="shared" si="1"/>
        <v>31</v>
      </c>
      <c r="B35" s="192" t="s">
        <v>190</v>
      </c>
      <c r="C35" s="183"/>
      <c r="D35" s="184">
        <v>0</v>
      </c>
      <c r="E35" s="185">
        <v>0</v>
      </c>
      <c r="F35" s="186">
        <v>0</v>
      </c>
      <c r="G35" s="186">
        <v>0</v>
      </c>
      <c r="H35" s="186">
        <f>51770.91-16836.42-34934.49</f>
        <v>0</v>
      </c>
      <c r="I35" s="187">
        <f>56498.4-56498.4</f>
        <v>0</v>
      </c>
      <c r="J35" s="187"/>
      <c r="K35" s="188">
        <f t="shared" si="0"/>
        <v>0</v>
      </c>
    </row>
    <row r="36" spans="1:11" ht="15.75">
      <c r="A36" s="181">
        <f t="shared" si="1"/>
        <v>32</v>
      </c>
      <c r="B36" s="192" t="s">
        <v>192</v>
      </c>
      <c r="C36" s="183"/>
      <c r="D36" s="184">
        <v>0</v>
      </c>
      <c r="E36" s="185">
        <v>0</v>
      </c>
      <c r="F36" s="186">
        <v>0</v>
      </c>
      <c r="G36" s="186">
        <v>22656</v>
      </c>
      <c r="H36" s="186"/>
      <c r="I36" s="187"/>
      <c r="J36" s="187"/>
      <c r="K36" s="188">
        <f t="shared" si="0"/>
        <v>22656</v>
      </c>
    </row>
    <row r="37" spans="1:11" ht="15.75">
      <c r="A37" s="181">
        <f t="shared" si="1"/>
        <v>33</v>
      </c>
      <c r="B37" s="192" t="s">
        <v>194</v>
      </c>
      <c r="C37" s="183"/>
      <c r="D37" s="184">
        <v>0</v>
      </c>
      <c r="E37" s="185">
        <v>0</v>
      </c>
      <c r="F37" s="186">
        <v>0</v>
      </c>
      <c r="G37" s="186">
        <v>0</v>
      </c>
      <c r="H37" s="186">
        <f>144880.4-93220+150450-51660.4-150450</f>
        <v>0</v>
      </c>
      <c r="I37" s="187">
        <f>80240+66080-146320+24780+28320+14160+126496-193756+140538-140538</f>
        <v>0</v>
      </c>
      <c r="J37" s="187">
        <f>245440-245440+321054.4-321054.4+300628.6-300628.6+173589.8</f>
        <v>173589.8</v>
      </c>
      <c r="K37" s="188">
        <f t="shared" ref="K37:K68" si="2">SUM(C37:J37)</f>
        <v>173589.8</v>
      </c>
    </row>
    <row r="38" spans="1:11" ht="15.75">
      <c r="A38" s="181">
        <f t="shared" si="1"/>
        <v>34</v>
      </c>
      <c r="B38" s="192" t="s">
        <v>400</v>
      </c>
      <c r="C38" s="183"/>
      <c r="D38" s="184">
        <v>0</v>
      </c>
      <c r="E38" s="185">
        <v>0</v>
      </c>
      <c r="F38" s="186">
        <v>0</v>
      </c>
      <c r="G38" s="186">
        <v>0</v>
      </c>
      <c r="H38" s="186"/>
      <c r="I38" s="187">
        <f>236100-236100</f>
        <v>0</v>
      </c>
      <c r="J38" s="187">
        <f>189300-189300+246550-246550+287000-287000+406398-406398+286413-286413+322854.05-322854.05+310917</f>
        <v>310917</v>
      </c>
      <c r="K38" s="188">
        <f t="shared" si="2"/>
        <v>310917</v>
      </c>
    </row>
    <row r="39" spans="1:11" ht="15.75">
      <c r="A39" s="181">
        <f t="shared" si="1"/>
        <v>35</v>
      </c>
      <c r="B39" s="192" t="s">
        <v>198</v>
      </c>
      <c r="C39" s="183"/>
      <c r="D39" s="184">
        <v>0</v>
      </c>
      <c r="E39" s="185">
        <v>0</v>
      </c>
      <c r="F39" s="186">
        <v>0</v>
      </c>
      <c r="G39" s="186">
        <v>0</v>
      </c>
      <c r="H39" s="186">
        <f>318550-106850-211700</f>
        <v>0</v>
      </c>
      <c r="I39" s="187">
        <f>125000+86000+91970+125500+46975+36500+95920-302970+73000+14500+19000+12500-208975+62600-95920-73000+146000+6800-108600+28920+84350-146000-28920+109100-109100-6800-84350</f>
        <v>0</v>
      </c>
      <c r="J39" s="187">
        <f>396100+65250+86000-86000-396100-65250+180000-180000+20000-20000+42000+127500+112000-281500+31500-31500</f>
        <v>0</v>
      </c>
      <c r="K39" s="188">
        <f t="shared" si="2"/>
        <v>0</v>
      </c>
    </row>
    <row r="40" spans="1:11" ht="15.75">
      <c r="A40" s="181">
        <f t="shared" si="1"/>
        <v>36</v>
      </c>
      <c r="B40" s="192" t="s">
        <v>199</v>
      </c>
      <c r="C40" s="183"/>
      <c r="D40" s="184">
        <v>0</v>
      </c>
      <c r="E40" s="185">
        <v>0</v>
      </c>
      <c r="F40" s="186">
        <v>0</v>
      </c>
      <c r="G40" s="186">
        <v>0</v>
      </c>
      <c r="H40" s="186">
        <v>0</v>
      </c>
      <c r="I40" s="187">
        <f>85000+80000+63000+24000+21000+50000+25484+17000+22800-165000-223284</f>
        <v>0</v>
      </c>
      <c r="J40" s="187"/>
      <c r="K40" s="188">
        <f t="shared" si="2"/>
        <v>0</v>
      </c>
    </row>
    <row r="41" spans="1:11" ht="15.75">
      <c r="A41" s="181">
        <f t="shared" si="1"/>
        <v>37</v>
      </c>
      <c r="B41" s="192" t="s">
        <v>200</v>
      </c>
      <c r="C41" s="183"/>
      <c r="D41" s="184">
        <v>0</v>
      </c>
      <c r="E41" s="185">
        <v>0</v>
      </c>
      <c r="F41" s="186">
        <v>0</v>
      </c>
      <c r="G41" s="186">
        <v>0</v>
      </c>
      <c r="H41" s="186">
        <f>134370.1-31860-19500-5750-22075.1-53100-2085</f>
        <v>7.2759576141834259E-12</v>
      </c>
      <c r="I41" s="187">
        <f>23482-23482</f>
        <v>0</v>
      </c>
      <c r="J41" s="187"/>
      <c r="K41" s="188">
        <f t="shared" si="2"/>
        <v>7.2759576141834259E-12</v>
      </c>
    </row>
    <row r="42" spans="1:11" ht="15.75">
      <c r="A42" s="181">
        <f t="shared" si="1"/>
        <v>38</v>
      </c>
      <c r="B42" s="194" t="s">
        <v>201</v>
      </c>
      <c r="C42" s="183"/>
      <c r="D42" s="184">
        <v>0</v>
      </c>
      <c r="E42" s="185">
        <v>0</v>
      </c>
      <c r="F42" s="186">
        <v>0</v>
      </c>
      <c r="G42" s="186">
        <v>0</v>
      </c>
      <c r="H42" s="186">
        <v>0</v>
      </c>
      <c r="I42" s="187">
        <f>36495.7+104162.37+65445.9+102110.7+44950.48-308214.67+21966.96+75478.41+42681.1-185076.95+19139.6-19139.6</f>
        <v>-2.9103830456733704E-11</v>
      </c>
      <c r="J42" s="187"/>
      <c r="K42" s="188">
        <f t="shared" si="2"/>
        <v>-2.9103830456733704E-11</v>
      </c>
    </row>
    <row r="43" spans="1:11" ht="15.75">
      <c r="A43" s="181">
        <f t="shared" si="1"/>
        <v>39</v>
      </c>
      <c r="B43" s="194" t="s">
        <v>203</v>
      </c>
      <c r="C43" s="183"/>
      <c r="D43" s="184">
        <v>0</v>
      </c>
      <c r="E43" s="185">
        <v>0</v>
      </c>
      <c r="F43" s="186">
        <v>0</v>
      </c>
      <c r="G43" s="186">
        <v>0</v>
      </c>
      <c r="H43" s="186">
        <f>448689-150202-291687-6800</f>
        <v>0</v>
      </c>
      <c r="I43" s="187">
        <f>89000+40410+85500+19470+11680+32000+29891+33500-129410+48100-85500-174641</f>
        <v>0</v>
      </c>
      <c r="J43" s="187"/>
      <c r="K43" s="188">
        <f t="shared" si="2"/>
        <v>0</v>
      </c>
    </row>
    <row r="44" spans="1:11" ht="15.75">
      <c r="A44" s="181">
        <f t="shared" si="1"/>
        <v>40</v>
      </c>
      <c r="B44" s="194" t="s">
        <v>204</v>
      </c>
      <c r="C44" s="183"/>
      <c r="D44" s="184">
        <v>0</v>
      </c>
      <c r="E44" s="185">
        <v>0</v>
      </c>
      <c r="F44" s="186">
        <v>0</v>
      </c>
      <c r="G44" s="186">
        <v>0</v>
      </c>
      <c r="H44" s="186">
        <f>19370.01-19370.01</f>
        <v>0</v>
      </c>
      <c r="I44" s="187">
        <f>291969.9-154984.95+112587.51-136984.95+126000+144500.02+31270+18880+17105+21830+7080+160650+96390-400192.53+102660+30680+435000-438170-31270-435000+70000-70000+70000-70000</f>
        <v>0</v>
      </c>
      <c r="J44" s="187">
        <f>70000-70000+70000-70000+29660-29660+260500-260500+70000-70000+70000-70000+70000-70000+70000+70000-70000-70000+100000+63000-63000-100000+100000-100000+100000-100000+115000-115000+86500-86500+395500-395500+115000+31500</f>
        <v>146500</v>
      </c>
      <c r="K44" s="188">
        <f t="shared" si="2"/>
        <v>146500</v>
      </c>
    </row>
    <row r="45" spans="1:11" ht="15.75">
      <c r="A45" s="181">
        <f t="shared" si="1"/>
        <v>41</v>
      </c>
      <c r="B45" s="194" t="s">
        <v>206</v>
      </c>
      <c r="C45" s="183"/>
      <c r="D45" s="184">
        <v>0</v>
      </c>
      <c r="E45" s="185">
        <v>0</v>
      </c>
      <c r="F45" s="186">
        <v>0</v>
      </c>
      <c r="G45" s="186">
        <v>0</v>
      </c>
      <c r="H45" s="186">
        <v>0</v>
      </c>
      <c r="I45" s="187">
        <v>0</v>
      </c>
      <c r="J45" s="187"/>
      <c r="K45" s="188">
        <f t="shared" si="2"/>
        <v>0</v>
      </c>
    </row>
    <row r="46" spans="1:11" ht="15.75">
      <c r="A46" s="181">
        <f t="shared" si="1"/>
        <v>42</v>
      </c>
      <c r="B46" s="194" t="s">
        <v>208</v>
      </c>
      <c r="C46" s="183"/>
      <c r="D46" s="184">
        <v>0</v>
      </c>
      <c r="E46" s="185">
        <v>0</v>
      </c>
      <c r="F46" s="186">
        <v>0</v>
      </c>
      <c r="G46" s="186">
        <v>0</v>
      </c>
      <c r="H46" s="186">
        <v>0</v>
      </c>
      <c r="I46" s="187"/>
      <c r="J46" s="187">
        <f>40259.1+22338.3+23866.4+40259.1+200300-200300+45142-45142+241144.8-241144.8+48396-48396+50756-40259.1-22338.3-23866.4-40259.1-50756+48396-48396+482289.6-482289.6+129882-129882+101225-101225+80033.5-80033.5+97500-97500+80033.5-80033.5</f>
        <v>0</v>
      </c>
      <c r="K46" s="188">
        <f t="shared" si="2"/>
        <v>0</v>
      </c>
    </row>
    <row r="47" spans="1:11" ht="15.75">
      <c r="A47" s="181">
        <f t="shared" si="1"/>
        <v>43</v>
      </c>
      <c r="B47" s="194" t="s">
        <v>209</v>
      </c>
      <c r="C47" s="183"/>
      <c r="D47" s="184">
        <v>0</v>
      </c>
      <c r="E47" s="185">
        <v>0</v>
      </c>
      <c r="F47" s="186">
        <v>0</v>
      </c>
      <c r="G47" s="186">
        <v>0</v>
      </c>
      <c r="H47" s="186">
        <f>65071.81+43773.28-50985.44-57859.65</f>
        <v>0</v>
      </c>
      <c r="I47" s="187">
        <f>225791.59+39276.06-104459.27+13565.28+19229.28+94320.7-39276.06-248447.58</f>
        <v>0</v>
      </c>
      <c r="J47" s="187"/>
      <c r="K47" s="188">
        <f t="shared" si="2"/>
        <v>0</v>
      </c>
    </row>
    <row r="48" spans="1:11" ht="15.75">
      <c r="A48" s="181">
        <f t="shared" si="1"/>
        <v>44</v>
      </c>
      <c r="B48" s="106" t="s">
        <v>211</v>
      </c>
      <c r="C48" s="183"/>
      <c r="D48" s="184">
        <v>0</v>
      </c>
      <c r="E48" s="185"/>
      <c r="F48" s="186"/>
      <c r="G48" s="186"/>
      <c r="H48" s="186">
        <f>278235.66-195268.99-42234.8-40731.87</f>
        <v>0</v>
      </c>
      <c r="I48" s="187">
        <f>79328.54+85648.74+35257.05+73629.8+33415.24+2730+140570.47+68224.18-200234.33+62730.41+86489.03-250345.51+2950+188509.55+113318.5-149219.44-71174.18-301828.05+12885.6-12885.6+396731+224754.74-621485.74+245370.45-245370.45+22886.1-22886.1+403515.8-403515.8+271534.03-271534.03+385443.48-385443.48</f>
        <v>0</v>
      </c>
      <c r="J48" s="187">
        <f>262587.63-262587.63+397602.18+448893.18-448893.18+262587.64-262587.64-397602.18+194546.03-194546.03</f>
        <v>0</v>
      </c>
      <c r="K48" s="188">
        <f t="shared" si="2"/>
        <v>0</v>
      </c>
    </row>
    <row r="49" spans="1:11" ht="15.75">
      <c r="A49" s="181">
        <f t="shared" si="1"/>
        <v>45</v>
      </c>
      <c r="B49" s="106" t="s">
        <v>213</v>
      </c>
      <c r="C49" s="183"/>
      <c r="D49" s="184">
        <v>0</v>
      </c>
      <c r="E49" s="185"/>
      <c r="F49" s="186"/>
      <c r="G49" s="186"/>
      <c r="H49" s="186"/>
      <c r="I49" s="187">
        <f>188987.25+37789.5+67241.53-127315.25-61672+133502.16+50386+44409.9+194587.74+35164+130633.92-563080.83-130633.92+70328+100026.96+488678.78-170354.96-488678.78+25193-25193+67742.84-67742.84+148934.04</f>
        <v>148934.04000000024</v>
      </c>
      <c r="J49" s="187">
        <f>142308-142308+142308-142308+659520.24-659520.24+234048-234048</f>
        <v>0</v>
      </c>
      <c r="K49" s="188">
        <f t="shared" si="2"/>
        <v>148934.04000000024</v>
      </c>
    </row>
    <row r="50" spans="1:11" ht="15.75">
      <c r="A50" s="181">
        <f t="shared" si="1"/>
        <v>46</v>
      </c>
      <c r="B50" s="106" t="s">
        <v>215</v>
      </c>
      <c r="C50" s="183"/>
      <c r="D50" s="184">
        <v>0</v>
      </c>
      <c r="E50" s="185"/>
      <c r="F50" s="186"/>
      <c r="G50" s="186"/>
      <c r="H50" s="186">
        <f>353410-136880-216530</f>
        <v>0</v>
      </c>
      <c r="I50" s="187">
        <f>82600+210040-82600-210040+223728+92040-92040-223728+38940+141600-141600-38940</f>
        <v>0</v>
      </c>
      <c r="J50" s="187">
        <f>546340+853140-853140-546340</f>
        <v>0</v>
      </c>
      <c r="K50" s="188">
        <f t="shared" si="2"/>
        <v>0</v>
      </c>
    </row>
    <row r="51" spans="1:11" ht="15.75">
      <c r="A51" s="181">
        <f t="shared" si="1"/>
        <v>47</v>
      </c>
      <c r="B51" s="106" t="s">
        <v>217</v>
      </c>
      <c r="C51" s="183"/>
      <c r="D51" s="184">
        <v>0</v>
      </c>
      <c r="E51" s="185"/>
      <c r="F51" s="186"/>
      <c r="G51" s="186"/>
      <c r="H51" s="186">
        <v>0</v>
      </c>
      <c r="I51" s="187">
        <f>19434.6+41772+159536.4+125987.58+34338-346730.58+271227.4+68260+113901-113901+280785.4-280785.4+34338-136936-271227.4+113901-113901+7103.6-7103.6+18585-18585+43920-43920</f>
        <v>0</v>
      </c>
      <c r="J51" s="187">
        <f>43920-43920+14823.75-14823.75+7103.6+7103.6-7103.6-7103.6+4148.05+43920-43920+14823.75-14823.75-4148.05+57596.98-57596.98+118236+68811.2+119888+70888-70888+118236+62510+14443.2-370803.2+28674+32497.2-32497.2-159995.2+51471.6-51471.6+6726-6726+9227.6+11900.3-9227.6</f>
        <v>11900.300000000001</v>
      </c>
      <c r="K51" s="188">
        <f t="shared" si="2"/>
        <v>11900.300000000001</v>
      </c>
    </row>
    <row r="52" spans="1:11" ht="15.75">
      <c r="A52" s="181">
        <f t="shared" si="1"/>
        <v>48</v>
      </c>
      <c r="B52" s="106" t="s">
        <v>218</v>
      </c>
      <c r="C52" s="183"/>
      <c r="D52" s="184">
        <v>0</v>
      </c>
      <c r="E52" s="185"/>
      <c r="F52" s="186"/>
      <c r="G52" s="186"/>
      <c r="H52" s="186">
        <v>0</v>
      </c>
      <c r="I52" s="187">
        <f>276158.35+71626+84218.96-145178.35+123110-130980-278954.96+54321.3-54321.3</f>
        <v>-5.8207660913467407E-11</v>
      </c>
      <c r="J52" s="187">
        <f>108553.2+124820.4-124820.4-108553.2</f>
        <v>0</v>
      </c>
      <c r="K52" s="188">
        <f t="shared" si="2"/>
        <v>-5.8207660913467407E-11</v>
      </c>
    </row>
    <row r="53" spans="1:11" ht="15.75">
      <c r="A53" s="181">
        <f t="shared" si="1"/>
        <v>49</v>
      </c>
      <c r="B53" s="106" t="s">
        <v>220</v>
      </c>
      <c r="C53" s="183"/>
      <c r="D53" s="184">
        <v>0</v>
      </c>
      <c r="E53" s="185"/>
      <c r="F53" s="186"/>
      <c r="G53" s="186"/>
      <c r="H53" s="186"/>
      <c r="I53" s="187">
        <f>91965.45+56630-56630-91965.45</f>
        <v>0</v>
      </c>
      <c r="J53" s="187">
        <f>90440.84-90440.84+181075.95-181075.95+74465.01-74465.01+11030-11030+35285.01+100000+6295</f>
        <v>141580.01</v>
      </c>
      <c r="K53" s="188">
        <f t="shared" si="2"/>
        <v>141580.01</v>
      </c>
    </row>
    <row r="54" spans="1:11" ht="15.75">
      <c r="A54" s="181">
        <f t="shared" si="1"/>
        <v>50</v>
      </c>
      <c r="B54" s="106" t="s">
        <v>222</v>
      </c>
      <c r="C54" s="183"/>
      <c r="D54" s="184">
        <v>0</v>
      </c>
      <c r="E54" s="185"/>
      <c r="F54" s="186"/>
      <c r="G54" s="186"/>
      <c r="H54" s="186">
        <f>613685.14-273190+117390-269333.04-188552.1</f>
        <v>0</v>
      </c>
      <c r="I54" s="187">
        <f>94151+18000-94151+63513-63513-18000</f>
        <v>0</v>
      </c>
      <c r="J54" s="187">
        <f>196500-196500+91348-91348</f>
        <v>0</v>
      </c>
      <c r="K54" s="188">
        <f t="shared" si="2"/>
        <v>0</v>
      </c>
    </row>
    <row r="55" spans="1:11" ht="15.75">
      <c r="A55" s="181">
        <f t="shared" si="1"/>
        <v>51</v>
      </c>
      <c r="B55" s="106" t="s">
        <v>223</v>
      </c>
      <c r="C55" s="183"/>
      <c r="D55" s="184">
        <v>0</v>
      </c>
      <c r="E55" s="185"/>
      <c r="F55" s="186"/>
      <c r="G55" s="186"/>
      <c r="H55" s="186"/>
      <c r="I55" s="187">
        <f>44700+115600+7500-160300+100000-107500+157500+6000-157500-6000</f>
        <v>0</v>
      </c>
      <c r="J55" s="187">
        <f>30000-30000+15000-15000+144500-144500</f>
        <v>0</v>
      </c>
      <c r="K55" s="188">
        <f t="shared" si="2"/>
        <v>0</v>
      </c>
    </row>
    <row r="56" spans="1:11" ht="15.75">
      <c r="A56" s="181">
        <f t="shared" si="1"/>
        <v>52</v>
      </c>
      <c r="B56" s="106" t="s">
        <v>224</v>
      </c>
      <c r="C56" s="183"/>
      <c r="D56" s="184">
        <v>0</v>
      </c>
      <c r="E56" s="185"/>
      <c r="F56" s="186"/>
      <c r="G56" s="186"/>
      <c r="H56" s="186"/>
      <c r="I56" s="187">
        <f>6980+16500+14945+37860-76285+54849.91-54849.91</f>
        <v>0</v>
      </c>
      <c r="J56" s="187">
        <f>159768.91-159768.91</f>
        <v>0</v>
      </c>
      <c r="K56" s="188">
        <f t="shared" si="2"/>
        <v>0</v>
      </c>
    </row>
    <row r="57" spans="1:11" ht="15.75">
      <c r="A57" s="181">
        <f t="shared" si="1"/>
        <v>53</v>
      </c>
      <c r="B57" s="106" t="s">
        <v>226</v>
      </c>
      <c r="C57" s="183"/>
      <c r="D57" s="184">
        <v>0</v>
      </c>
      <c r="E57" s="185"/>
      <c r="F57" s="186"/>
      <c r="G57" s="186"/>
      <c r="H57" s="186">
        <v>0</v>
      </c>
      <c r="I57" s="187">
        <f>44407.4+44841.99+31054+21777.98+14940.6+43952-157021.97+42916.8+21741.3+34722+17559-108610.1+53342+24398.67+65212+16057.99+3628+51642-266561.66</f>
        <v>0</v>
      </c>
      <c r="J57" s="187"/>
      <c r="K57" s="188">
        <f t="shared" si="2"/>
        <v>0</v>
      </c>
    </row>
    <row r="58" spans="1:11" ht="15.75">
      <c r="A58" s="181">
        <f t="shared" si="1"/>
        <v>54</v>
      </c>
      <c r="B58" s="106" t="s">
        <v>227</v>
      </c>
      <c r="C58" s="183"/>
      <c r="D58" s="184">
        <v>0</v>
      </c>
      <c r="E58" s="185"/>
      <c r="F58" s="186"/>
      <c r="G58" s="186"/>
      <c r="H58" s="186"/>
      <c r="I58" s="187">
        <f>17464+18408+35382-71254</f>
        <v>0</v>
      </c>
      <c r="J58" s="187"/>
      <c r="K58" s="188">
        <f t="shared" si="2"/>
        <v>0</v>
      </c>
    </row>
    <row r="59" spans="1:11" ht="15.75">
      <c r="A59" s="181">
        <f t="shared" si="1"/>
        <v>55</v>
      </c>
      <c r="B59" s="106" t="s">
        <v>401</v>
      </c>
      <c r="C59" s="183"/>
      <c r="D59" s="184">
        <v>0</v>
      </c>
      <c r="E59" s="185"/>
      <c r="F59" s="186"/>
      <c r="G59" s="186"/>
      <c r="H59" s="186">
        <v>0</v>
      </c>
      <c r="I59" s="187">
        <f>143030-143030+15600-15600</f>
        <v>0</v>
      </c>
      <c r="J59" s="187">
        <f>13711.6-13711.6</f>
        <v>0</v>
      </c>
      <c r="K59" s="188">
        <f t="shared" si="2"/>
        <v>0</v>
      </c>
    </row>
    <row r="60" spans="1:11" ht="15.75">
      <c r="A60" s="181">
        <f t="shared" si="1"/>
        <v>56</v>
      </c>
      <c r="B60" s="106" t="s">
        <v>230</v>
      </c>
      <c r="C60" s="183"/>
      <c r="D60" s="184">
        <v>0</v>
      </c>
      <c r="E60" s="185" t="s">
        <v>57</v>
      </c>
      <c r="F60" s="186"/>
      <c r="G60" s="186"/>
      <c r="H60" s="186"/>
      <c r="I60" s="187">
        <f>29845-29845</f>
        <v>0</v>
      </c>
      <c r="J60" s="187"/>
      <c r="K60" s="188">
        <f t="shared" si="2"/>
        <v>0</v>
      </c>
    </row>
    <row r="61" spans="1:11" ht="15.75">
      <c r="A61" s="181">
        <f t="shared" si="1"/>
        <v>57</v>
      </c>
      <c r="B61" s="106" t="s">
        <v>232</v>
      </c>
      <c r="C61" s="183"/>
      <c r="D61" s="184">
        <v>0</v>
      </c>
      <c r="E61" s="185"/>
      <c r="F61" s="186"/>
      <c r="G61" s="186"/>
      <c r="H61" s="186"/>
      <c r="I61" s="187">
        <f>20800+7500+27000+20800+13500+20800+24300-7500-20800-27000-20800+22200+13500+46500-58600+6000+23800+40500+22110+19550-22200-23800-22110+20740-20740-126050</f>
        <v>0</v>
      </c>
      <c r="J61" s="187">
        <f>23470-23470+20505-20505+20825-20825+26050-26050+18000-18000+19990-19990+17810-17810+23050-23050+51000-51000+22140-22140+22850-22850+7500-7500+25160+16500+20550+10500</f>
        <v>72710</v>
      </c>
      <c r="K61" s="188">
        <f t="shared" si="2"/>
        <v>72710</v>
      </c>
    </row>
    <row r="62" spans="1:11" ht="15.75">
      <c r="A62" s="181">
        <f t="shared" si="1"/>
        <v>58</v>
      </c>
      <c r="B62" s="106" t="s">
        <v>234</v>
      </c>
      <c r="C62" s="183"/>
      <c r="D62" s="184">
        <v>0</v>
      </c>
      <c r="E62" s="185"/>
      <c r="F62" s="186"/>
      <c r="G62" s="186"/>
      <c r="H62" s="186"/>
      <c r="I62" s="187">
        <f>116756-116756+122723+48448-171171</f>
        <v>0</v>
      </c>
      <c r="J62" s="187">
        <v>6960</v>
      </c>
      <c r="K62" s="188">
        <f t="shared" si="2"/>
        <v>6960</v>
      </c>
    </row>
    <row r="63" spans="1:11" ht="15.75">
      <c r="A63" s="181">
        <f t="shared" si="1"/>
        <v>59</v>
      </c>
      <c r="B63" s="106" t="s">
        <v>235</v>
      </c>
      <c r="C63" s="183"/>
      <c r="D63" s="184">
        <v>0</v>
      </c>
      <c r="E63" s="185"/>
      <c r="F63" s="186"/>
      <c r="G63" s="186"/>
      <c r="H63" s="186">
        <v>0</v>
      </c>
      <c r="I63" s="187">
        <f>93887.63-93887.63</f>
        <v>0</v>
      </c>
      <c r="J63" s="187">
        <f>343329.79-343329.79</f>
        <v>0</v>
      </c>
      <c r="K63" s="188">
        <f t="shared" si="2"/>
        <v>0</v>
      </c>
    </row>
    <row r="64" spans="1:11" ht="15.75">
      <c r="A64" s="181">
        <f t="shared" si="1"/>
        <v>60</v>
      </c>
      <c r="B64" s="106" t="s">
        <v>237</v>
      </c>
      <c r="C64" s="183"/>
      <c r="D64" s="184">
        <v>0</v>
      </c>
      <c r="E64" s="185"/>
      <c r="F64" s="186"/>
      <c r="G64" s="186"/>
      <c r="H64" s="186"/>
      <c r="I64" s="187"/>
      <c r="J64" s="187">
        <f>64232-64232</f>
        <v>0</v>
      </c>
      <c r="K64" s="188">
        <f t="shared" si="2"/>
        <v>0</v>
      </c>
    </row>
    <row r="65" spans="1:11" ht="15.75">
      <c r="A65" s="181">
        <f t="shared" si="1"/>
        <v>61</v>
      </c>
      <c r="B65" s="104" t="s">
        <v>239</v>
      </c>
      <c r="C65" s="183"/>
      <c r="D65" s="184">
        <v>0</v>
      </c>
      <c r="E65" s="185"/>
      <c r="F65" s="186"/>
      <c r="G65" s="186"/>
      <c r="H65" s="186"/>
      <c r="I65" s="187"/>
      <c r="J65" s="187"/>
      <c r="K65" s="188">
        <f t="shared" si="2"/>
        <v>0</v>
      </c>
    </row>
    <row r="66" spans="1:11" ht="15.75">
      <c r="A66" s="181">
        <f t="shared" si="1"/>
        <v>62</v>
      </c>
      <c r="B66" s="104" t="s">
        <v>241</v>
      </c>
      <c r="C66" s="183"/>
      <c r="D66" s="184">
        <v>0</v>
      </c>
      <c r="E66" s="185">
        <v>0</v>
      </c>
      <c r="F66" s="186">
        <v>0</v>
      </c>
      <c r="G66" s="186">
        <v>0</v>
      </c>
      <c r="H66" s="186"/>
      <c r="I66" s="187">
        <f>17000-17000+103500+47000+12500+37500-103500+62500+25000-97000+52000-62500-25000-52000+65000-65000</f>
        <v>0</v>
      </c>
      <c r="J66" s="187">
        <f>26000-26000+78000-78000+39000-39000</f>
        <v>0</v>
      </c>
      <c r="K66" s="188">
        <f t="shared" si="2"/>
        <v>0</v>
      </c>
    </row>
    <row r="67" spans="1:11" ht="15.75">
      <c r="A67" s="181">
        <f t="shared" si="1"/>
        <v>63</v>
      </c>
      <c r="B67" s="104" t="s">
        <v>243</v>
      </c>
      <c r="C67" s="183"/>
      <c r="D67" s="184">
        <v>0</v>
      </c>
      <c r="E67" s="185">
        <v>0</v>
      </c>
      <c r="F67" s="186">
        <v>0</v>
      </c>
      <c r="G67" s="186">
        <v>0</v>
      </c>
      <c r="H67" s="186">
        <f>4500-4500</f>
        <v>0</v>
      </c>
      <c r="I67" s="187">
        <f>6500-6500+5000+3500-8500+6500-6500</f>
        <v>0</v>
      </c>
      <c r="J67" s="187">
        <f>4400-4400+4000-4000+7000-7000</f>
        <v>0</v>
      </c>
      <c r="K67" s="188">
        <f t="shared" si="2"/>
        <v>0</v>
      </c>
    </row>
    <row r="68" spans="1:11" ht="15.75">
      <c r="A68" s="181">
        <f t="shared" si="1"/>
        <v>64</v>
      </c>
      <c r="B68" s="104" t="s">
        <v>245</v>
      </c>
      <c r="C68" s="183"/>
      <c r="D68" s="184">
        <v>0</v>
      </c>
      <c r="E68" s="185">
        <v>0</v>
      </c>
      <c r="F68" s="186">
        <v>0</v>
      </c>
      <c r="G68" s="186">
        <v>0</v>
      </c>
      <c r="H68" s="186"/>
      <c r="I68" s="187">
        <f>4346+4200+3360+6571+5002+2665+4400-14277+2100+4265+4560-6865+2665+6824+2378-2378-5002+2100+2337-6602+4601-9001+2100-6865-13484</f>
        <v>0</v>
      </c>
      <c r="J68" s="187">
        <f>14400-14400+14400-14400+10500-10500+4800-4800+6200-6200+4900-4900</f>
        <v>0</v>
      </c>
      <c r="K68" s="188">
        <f t="shared" si="2"/>
        <v>0</v>
      </c>
    </row>
    <row r="69" spans="1:11" ht="15.75">
      <c r="A69" s="181">
        <f t="shared" si="1"/>
        <v>65</v>
      </c>
      <c r="B69" s="104" t="s">
        <v>247</v>
      </c>
      <c r="C69" s="183"/>
      <c r="D69" s="184">
        <v>0</v>
      </c>
      <c r="E69" s="185">
        <v>0</v>
      </c>
      <c r="F69" s="186">
        <v>0</v>
      </c>
      <c r="G69" s="186">
        <v>0</v>
      </c>
      <c r="H69" s="186">
        <v>0</v>
      </c>
      <c r="I69" s="187">
        <f>6000+6000+6000+6000+6000+6000-18000+6000+6000-18000+6000+6000-6000-6000-6000-6000</f>
        <v>0</v>
      </c>
      <c r="J69" s="187">
        <f>6000+6000-6000+6000-6000+6000-6000-6000+6000+6000-12000</f>
        <v>0</v>
      </c>
      <c r="K69" s="188">
        <f t="shared" ref="K69:K100" si="3">SUM(C69:J69)</f>
        <v>0</v>
      </c>
    </row>
    <row r="70" spans="1:11" ht="15.75">
      <c r="A70" s="181">
        <f t="shared" si="1"/>
        <v>66</v>
      </c>
      <c r="B70" s="104" t="s">
        <v>249</v>
      </c>
      <c r="C70" s="183"/>
      <c r="D70" s="184">
        <v>0</v>
      </c>
      <c r="E70" s="185">
        <v>0</v>
      </c>
      <c r="F70" s="186">
        <v>0</v>
      </c>
      <c r="G70" s="186">
        <v>0</v>
      </c>
      <c r="H70" s="186">
        <f>51340.28-51340.28</f>
        <v>0</v>
      </c>
      <c r="I70" s="187">
        <f>53060.03-53060.03+47628.4+42076.98-47628.4-42076.98+35986.54-35986.54</f>
        <v>0</v>
      </c>
      <c r="J70" s="187">
        <f>48893.26-48893.26+28520-28520+43212.08-43212.08+41426.5-41426.5+46574.08-46574.08+41952</f>
        <v>41952</v>
      </c>
      <c r="K70" s="188">
        <f t="shared" si="3"/>
        <v>41952</v>
      </c>
    </row>
    <row r="71" spans="1:11" ht="15.75">
      <c r="A71" s="181">
        <f t="shared" ref="A71:A106" si="4">SUM(A70+1)</f>
        <v>67</v>
      </c>
      <c r="B71" s="104" t="s">
        <v>17</v>
      </c>
      <c r="C71" s="183"/>
      <c r="D71" s="184">
        <v>0</v>
      </c>
      <c r="E71" s="185">
        <v>0</v>
      </c>
      <c r="F71" s="186">
        <v>0</v>
      </c>
      <c r="G71" s="186">
        <v>0</v>
      </c>
      <c r="H71" s="186">
        <v>0</v>
      </c>
      <c r="I71" s="187">
        <f>14150+8950+900-900+900-900+750-750+1350-1350+800+1050+800+1050+900-900+900-900+1350-1350+750+900-900+900-900+1200+1200+14400+750-900-750-1350-1500-900-900-900-1200-2250-750-750-900-900-900-1450+900+900+900+1050+900-900+900-900+750-750+900+900-900+900-9000+900-900+900-900+900-900+900+900-12800+900-900+4950-4950+2550+2300-2300+750-21700+13350+1350-1350+1350+1350-1350-13250-17850+1200-1200+1350+900+900+900+900+900+900+900+1350-1350+900+750+750+750+1350+900+750+900+900+1950-1950+900+900+13750+900-900+900+1200-1200-900-900-900-800-900-7200</f>
        <v>0</v>
      </c>
      <c r="J71" s="187">
        <f>1350+1350-1350-1350+800+900-900+900+1200-1200+1350-1350+1350-1350+1350+750-750+900-900+750-750+900-900+900-900+1950-1950-1950+1950+900-900+9900+900-900-900+900+900+900+900+900+750-750+1200-1200+900+900+900+900+900+900+900+900+900+900+900+900+900+900+1350+900+900+1350+900+900+900+900+1750+2150+1950-1950+1750+1350+2800+750+1350+900+1200-1200-900-750-900-1350-1350-900+2550+800+900+1950+1350+900+1200+900+900+900+900+1750+900+900+900+900-38700+11800-6650-1350-1350-1050+900+2300-900-21650+2450+1350+17800+900+1550+1400+1400+5400+1050+1200+1350-12550+9750+1350+1350+1350+1350+1350+1350+17300+1350+1350+22250-5400-20200+17300+20150-41750+5000+6350+8312.5+1187.5+2637.5+1187.5+1187.5+1187.5+2912.5+2337.5+1187.5+12862.5</f>
        <v>105700</v>
      </c>
      <c r="K71" s="188">
        <f t="shared" si="3"/>
        <v>105700</v>
      </c>
    </row>
    <row r="72" spans="1:11" ht="15.75">
      <c r="A72" s="181">
        <f t="shared" si="4"/>
        <v>68</v>
      </c>
      <c r="B72" s="104" t="s">
        <v>251</v>
      </c>
      <c r="C72" s="183"/>
      <c r="D72" s="184">
        <v>0</v>
      </c>
      <c r="E72" s="185">
        <v>0</v>
      </c>
      <c r="F72" s="186">
        <v>0</v>
      </c>
      <c r="G72" s="186">
        <v>0</v>
      </c>
      <c r="H72" s="186">
        <v>0</v>
      </c>
      <c r="I72" s="187">
        <f>54988+22892-54988+196588+82364-219480-82364</f>
        <v>0</v>
      </c>
      <c r="J72" s="187">
        <f>278480-278480+37760-37760+27140+134520</f>
        <v>161660</v>
      </c>
      <c r="K72" s="188">
        <f t="shared" si="3"/>
        <v>161660</v>
      </c>
    </row>
    <row r="73" spans="1:11" ht="15.75">
      <c r="A73" s="181">
        <f t="shared" si="4"/>
        <v>69</v>
      </c>
      <c r="B73" s="104" t="s">
        <v>253</v>
      </c>
      <c r="C73" s="183"/>
      <c r="D73" s="184">
        <v>0</v>
      </c>
      <c r="E73" s="185">
        <v>0</v>
      </c>
      <c r="F73" s="186">
        <v>0</v>
      </c>
      <c r="G73" s="186">
        <v>0</v>
      </c>
      <c r="H73" s="186"/>
      <c r="I73" s="187"/>
      <c r="J73" s="187"/>
      <c r="K73" s="188">
        <f t="shared" si="3"/>
        <v>0</v>
      </c>
    </row>
    <row r="74" spans="1:11" ht="15.75">
      <c r="A74" s="181">
        <f t="shared" si="4"/>
        <v>70</v>
      </c>
      <c r="B74" s="104" t="s">
        <v>255</v>
      </c>
      <c r="C74" s="183"/>
      <c r="D74" s="184">
        <v>0</v>
      </c>
      <c r="E74" s="185">
        <v>0</v>
      </c>
      <c r="F74" s="186">
        <v>0</v>
      </c>
      <c r="G74" s="186">
        <v>0</v>
      </c>
      <c r="H74" s="186"/>
      <c r="I74" s="187">
        <f>21059.98-21059.98+20502.89-20502.89+50152.72+40046.52-50152.72-40046.52</f>
        <v>0</v>
      </c>
      <c r="J74" s="187">
        <f>110656.03+83984.9</f>
        <v>194640.93</v>
      </c>
      <c r="K74" s="188">
        <f t="shared" si="3"/>
        <v>194640.93</v>
      </c>
    </row>
    <row r="75" spans="1:11" ht="15.75">
      <c r="A75" s="181">
        <f t="shared" si="4"/>
        <v>71</v>
      </c>
      <c r="B75" s="104" t="s">
        <v>256</v>
      </c>
      <c r="C75" s="183"/>
      <c r="D75" s="184">
        <v>0</v>
      </c>
      <c r="E75" s="185">
        <v>0</v>
      </c>
      <c r="F75" s="186">
        <v>0</v>
      </c>
      <c r="G75" s="186">
        <v>0</v>
      </c>
      <c r="H75" s="186"/>
      <c r="I75" s="187">
        <f>18880-18880</f>
        <v>0</v>
      </c>
      <c r="J75" s="187"/>
      <c r="K75" s="188">
        <f t="shared" si="3"/>
        <v>0</v>
      </c>
    </row>
    <row r="76" spans="1:11" ht="15.75">
      <c r="A76" s="181">
        <f t="shared" si="4"/>
        <v>72</v>
      </c>
      <c r="B76" s="104" t="s">
        <v>258</v>
      </c>
      <c r="C76" s="183"/>
      <c r="D76" s="184">
        <v>0</v>
      </c>
      <c r="E76" s="185">
        <v>0</v>
      </c>
      <c r="F76" s="186">
        <v>0</v>
      </c>
      <c r="G76" s="186">
        <v>0</v>
      </c>
      <c r="H76" s="186"/>
      <c r="I76" s="187">
        <f>38435-38435+225816.03-225816.03</f>
        <v>0</v>
      </c>
      <c r="J76" s="187"/>
      <c r="K76" s="188">
        <f t="shared" si="3"/>
        <v>0</v>
      </c>
    </row>
    <row r="77" spans="1:11" ht="15.75">
      <c r="A77" s="181">
        <f t="shared" si="4"/>
        <v>73</v>
      </c>
      <c r="B77" s="192" t="s">
        <v>260</v>
      </c>
      <c r="C77" s="183"/>
      <c r="D77" s="184">
        <v>0</v>
      </c>
      <c r="E77" s="185">
        <v>0</v>
      </c>
      <c r="F77" s="186">
        <v>0</v>
      </c>
      <c r="G77" s="186">
        <v>0</v>
      </c>
      <c r="H77" s="186"/>
      <c r="I77" s="187">
        <f>13452+6338+2360-13452-6338-2360+74800.26-74800.26</f>
        <v>0</v>
      </c>
      <c r="J77" s="187">
        <f>48200-48200+186000-186000</f>
        <v>0</v>
      </c>
      <c r="K77" s="188">
        <f t="shared" si="3"/>
        <v>0</v>
      </c>
    </row>
    <row r="78" spans="1:11" ht="15.75">
      <c r="A78" s="181">
        <f t="shared" si="4"/>
        <v>74</v>
      </c>
      <c r="B78" s="195" t="s">
        <v>262</v>
      </c>
      <c r="C78" s="183"/>
      <c r="D78" s="184">
        <v>0</v>
      </c>
      <c r="E78" s="185">
        <v>0</v>
      </c>
      <c r="F78" s="186">
        <v>0</v>
      </c>
      <c r="G78" s="186">
        <v>0</v>
      </c>
      <c r="H78" s="186">
        <f>6404.16-6404.16</f>
        <v>0</v>
      </c>
      <c r="I78" s="187">
        <v>0</v>
      </c>
      <c r="J78" s="187">
        <f>46855.12-46855.12+2879.09-2879.09+15131.81-15131.81+3283.48-3283.48+3199.01-3199.01+13747.5-13747.5+4012.62-4012.62</f>
        <v>0</v>
      </c>
      <c r="K78" s="188">
        <f t="shared" si="3"/>
        <v>0</v>
      </c>
    </row>
    <row r="79" spans="1:11" ht="15.75">
      <c r="A79" s="181">
        <f t="shared" si="4"/>
        <v>75</v>
      </c>
      <c r="B79" s="195" t="s">
        <v>264</v>
      </c>
      <c r="C79" s="183"/>
      <c r="D79" s="184">
        <v>0</v>
      </c>
      <c r="E79" s="185">
        <v>0</v>
      </c>
      <c r="F79" s="186">
        <v>0</v>
      </c>
      <c r="G79" s="186">
        <v>0</v>
      </c>
      <c r="H79" s="186"/>
      <c r="I79" s="187">
        <f>5000+5500+2000+8000+12300+6700-20500+11300-30300+5000+12000+22000-17000-22000</f>
        <v>0</v>
      </c>
      <c r="J79" s="187"/>
      <c r="K79" s="188">
        <f t="shared" si="3"/>
        <v>0</v>
      </c>
    </row>
    <row r="80" spans="1:11" ht="15.75">
      <c r="A80" s="181">
        <f t="shared" si="4"/>
        <v>76</v>
      </c>
      <c r="B80" s="195" t="s">
        <v>265</v>
      </c>
      <c r="C80" s="183"/>
      <c r="D80" s="184">
        <v>0</v>
      </c>
      <c r="E80" s="185"/>
      <c r="F80" s="186"/>
      <c r="G80" s="186"/>
      <c r="H80" s="186"/>
      <c r="I80" s="187">
        <f>21799.99-21799.99</f>
        <v>0</v>
      </c>
      <c r="J80" s="187"/>
      <c r="K80" s="188">
        <f t="shared" si="3"/>
        <v>0</v>
      </c>
    </row>
    <row r="81" spans="1:11" ht="15.75">
      <c r="A81" s="181">
        <f t="shared" si="4"/>
        <v>77</v>
      </c>
      <c r="B81" s="195" t="s">
        <v>267</v>
      </c>
      <c r="C81" s="183"/>
      <c r="D81" s="184">
        <v>0</v>
      </c>
      <c r="E81" s="185"/>
      <c r="F81" s="186"/>
      <c r="G81" s="186"/>
      <c r="H81" s="186"/>
      <c r="I81" s="187">
        <f>4500-4500</f>
        <v>0</v>
      </c>
      <c r="J81" s="187"/>
      <c r="K81" s="188">
        <f t="shared" si="3"/>
        <v>0</v>
      </c>
    </row>
    <row r="82" spans="1:11">
      <c r="A82" s="181">
        <f t="shared" si="4"/>
        <v>78</v>
      </c>
      <c r="B82" s="19" t="s">
        <v>269</v>
      </c>
      <c r="C82" s="183"/>
      <c r="D82" s="184">
        <v>0</v>
      </c>
      <c r="E82" s="185"/>
      <c r="F82" s="186"/>
      <c r="G82" s="186"/>
      <c r="H82" s="186"/>
      <c r="I82" s="187">
        <f>36580-36580+29500-29500</f>
        <v>0</v>
      </c>
      <c r="J82" s="187">
        <f>37760-37760</f>
        <v>0</v>
      </c>
      <c r="K82" s="188">
        <f t="shared" si="3"/>
        <v>0</v>
      </c>
    </row>
    <row r="83" spans="1:11">
      <c r="A83" s="181">
        <f t="shared" si="4"/>
        <v>79</v>
      </c>
      <c r="B83" s="19" t="s">
        <v>271</v>
      </c>
      <c r="C83" s="183"/>
      <c r="D83" s="184">
        <v>0</v>
      </c>
      <c r="E83" s="185"/>
      <c r="F83" s="186"/>
      <c r="G83" s="186"/>
      <c r="H83" s="186"/>
      <c r="I83" s="187">
        <f>6900-6900</f>
        <v>0</v>
      </c>
      <c r="J83" s="187"/>
      <c r="K83" s="188">
        <f t="shared" si="3"/>
        <v>0</v>
      </c>
    </row>
    <row r="84" spans="1:11" ht="15.75">
      <c r="A84" s="181">
        <f t="shared" si="4"/>
        <v>80</v>
      </c>
      <c r="B84" s="195" t="s">
        <v>273</v>
      </c>
      <c r="C84" s="183"/>
      <c r="D84" s="184">
        <v>0</v>
      </c>
      <c r="E84" s="185"/>
      <c r="F84" s="186"/>
      <c r="G84" s="186"/>
      <c r="H84" s="187"/>
      <c r="I84" s="187">
        <f>49992+8040+32794.56+73300+3600+58540.27+108640.01+79488.37+45344.92+226566.32-168234.83-233473.3+33276-259842.32+55577.25-8040-49992+21948-21948-55577.25+48636.9-48636.9+11800-11800+53664.3-53664.3+41461.3-41461.3</f>
        <v>0</v>
      </c>
      <c r="J84" s="187">
        <f>48933.9-48933.9+198607-198607+9996-9996+8330-8330+16660-16660+487991.49-487991.49+53725.05-53725.05+39579-39579+50004.45-50004.45+39579-39579+51899.85-51899.85+209410.48-209410.48+61283.7-61283.7+52419.8-52419.8+59550.3-59550.3+33240-33240+297039-297039+62824.05-62824.05+11070-11070+251096-251096+73818.45+129464</f>
        <v>203282.45</v>
      </c>
      <c r="K84" s="188">
        <f t="shared" si="3"/>
        <v>203282.45</v>
      </c>
    </row>
    <row r="85" spans="1:11" ht="15.75">
      <c r="A85" s="181">
        <f t="shared" si="4"/>
        <v>81</v>
      </c>
      <c r="B85" s="195" t="s">
        <v>275</v>
      </c>
      <c r="C85" s="183"/>
      <c r="D85" s="184">
        <v>0</v>
      </c>
      <c r="E85" s="185"/>
      <c r="F85" s="186"/>
      <c r="G85" s="186"/>
      <c r="H85" s="187"/>
      <c r="I85" s="187">
        <f>9581.6+39648-49229.6+14042-14042</f>
        <v>0</v>
      </c>
      <c r="J85" s="187">
        <f>44604-44604+50386-50386+20414</f>
        <v>20414</v>
      </c>
      <c r="K85" s="188">
        <f t="shared" si="3"/>
        <v>20414</v>
      </c>
    </row>
    <row r="86" spans="1:11" ht="15.75">
      <c r="A86" s="181">
        <f t="shared" si="4"/>
        <v>82</v>
      </c>
      <c r="B86" s="195" t="s">
        <v>271</v>
      </c>
      <c r="C86" s="183"/>
      <c r="D86" s="184">
        <v>0</v>
      </c>
      <c r="E86" s="185"/>
      <c r="F86" s="186"/>
      <c r="G86" s="186"/>
      <c r="H86" s="187"/>
      <c r="I86" s="187">
        <f>6900-6900</f>
        <v>0</v>
      </c>
      <c r="J86" s="187"/>
      <c r="K86" s="188">
        <f t="shared" si="3"/>
        <v>0</v>
      </c>
    </row>
    <row r="87" spans="1:11" ht="15.75">
      <c r="A87" s="181">
        <f t="shared" si="4"/>
        <v>83</v>
      </c>
      <c r="B87" s="195" t="s">
        <v>278</v>
      </c>
      <c r="C87" s="183"/>
      <c r="D87" s="184">
        <v>0</v>
      </c>
      <c r="E87" s="185"/>
      <c r="F87" s="186"/>
      <c r="G87" s="186"/>
      <c r="H87" s="187"/>
      <c r="I87" s="187">
        <f>6700-6700</f>
        <v>0</v>
      </c>
      <c r="J87" s="187"/>
      <c r="K87" s="188">
        <f t="shared" si="3"/>
        <v>0</v>
      </c>
    </row>
    <row r="88" spans="1:11" ht="15.75">
      <c r="A88" s="181">
        <f t="shared" si="4"/>
        <v>84</v>
      </c>
      <c r="B88" s="104" t="s">
        <v>280</v>
      </c>
      <c r="C88" s="183"/>
      <c r="D88" s="184">
        <v>0</v>
      </c>
      <c r="E88" s="184"/>
      <c r="F88" s="184"/>
      <c r="G88" s="184">
        <v>0</v>
      </c>
      <c r="H88" s="184">
        <v>0</v>
      </c>
      <c r="I88" s="187"/>
      <c r="J88" s="187">
        <f>24526-24526</f>
        <v>0</v>
      </c>
      <c r="K88" s="188">
        <f t="shared" si="3"/>
        <v>0</v>
      </c>
    </row>
    <row r="89" spans="1:11" ht="15.75">
      <c r="A89" s="181">
        <f t="shared" si="4"/>
        <v>85</v>
      </c>
      <c r="B89" s="104" t="s">
        <v>282</v>
      </c>
      <c r="C89" s="183"/>
      <c r="D89" s="184">
        <v>0</v>
      </c>
      <c r="E89" s="184"/>
      <c r="F89" s="184"/>
      <c r="G89" s="184"/>
      <c r="H89" s="184"/>
      <c r="I89" s="187">
        <f>26000-26000</f>
        <v>0</v>
      </c>
      <c r="J89" s="187"/>
      <c r="K89" s="188">
        <f t="shared" si="3"/>
        <v>0</v>
      </c>
    </row>
    <row r="90" spans="1:11" ht="15.75">
      <c r="A90" s="181">
        <f t="shared" si="4"/>
        <v>86</v>
      </c>
      <c r="B90" s="104" t="s">
        <v>284</v>
      </c>
      <c r="C90" s="183"/>
      <c r="D90" s="184">
        <v>0</v>
      </c>
      <c r="E90" s="184">
        <v>0</v>
      </c>
      <c r="F90" s="184">
        <v>0</v>
      </c>
      <c r="G90" s="184">
        <v>0</v>
      </c>
      <c r="H90" s="184">
        <v>0</v>
      </c>
      <c r="I90" s="187">
        <f>40020-40020</f>
        <v>0</v>
      </c>
      <c r="J90" s="187"/>
      <c r="K90" s="188">
        <f t="shared" si="3"/>
        <v>0</v>
      </c>
    </row>
    <row r="91" spans="1:11" ht="15.75">
      <c r="A91" s="181">
        <f t="shared" si="4"/>
        <v>87</v>
      </c>
      <c r="B91" s="104" t="s">
        <v>285</v>
      </c>
      <c r="C91" s="183"/>
      <c r="D91" s="184">
        <v>0</v>
      </c>
      <c r="E91" s="184"/>
      <c r="F91" s="184"/>
      <c r="G91" s="184"/>
      <c r="H91" s="184"/>
      <c r="I91" s="187">
        <f>47665.12-47665.12</f>
        <v>0</v>
      </c>
      <c r="J91" s="187">
        <f>26943.36-26943.36</f>
        <v>0</v>
      </c>
      <c r="K91" s="188">
        <f t="shared" si="3"/>
        <v>0</v>
      </c>
    </row>
    <row r="92" spans="1:11" ht="15.75">
      <c r="A92" s="181">
        <f t="shared" si="4"/>
        <v>88</v>
      </c>
      <c r="B92" s="104" t="s">
        <v>287</v>
      </c>
      <c r="C92" s="183"/>
      <c r="D92" s="184">
        <v>0</v>
      </c>
      <c r="E92" s="184"/>
      <c r="F92" s="184"/>
      <c r="G92" s="184"/>
      <c r="H92" s="184"/>
      <c r="I92" s="184">
        <f>42834-42834</f>
        <v>0</v>
      </c>
      <c r="J92" s="184"/>
      <c r="K92" s="188">
        <f t="shared" si="3"/>
        <v>0</v>
      </c>
    </row>
    <row r="93" spans="1:11" ht="15.75">
      <c r="A93" s="181">
        <f t="shared" si="4"/>
        <v>89</v>
      </c>
      <c r="B93" s="104" t="s">
        <v>289</v>
      </c>
      <c r="C93" s="183"/>
      <c r="D93" s="184">
        <v>0</v>
      </c>
      <c r="E93" s="184"/>
      <c r="F93" s="184"/>
      <c r="G93" s="184"/>
      <c r="H93" s="184"/>
      <c r="I93" s="184">
        <f>11700-11700</f>
        <v>0</v>
      </c>
      <c r="J93" s="184"/>
      <c r="K93" s="188">
        <f t="shared" si="3"/>
        <v>0</v>
      </c>
    </row>
    <row r="94" spans="1:11" ht="15.75">
      <c r="A94" s="181">
        <f t="shared" si="4"/>
        <v>90</v>
      </c>
      <c r="B94" s="104" t="s">
        <v>402</v>
      </c>
      <c r="C94" s="183"/>
      <c r="D94" s="184">
        <v>0</v>
      </c>
      <c r="E94" s="184"/>
      <c r="F94" s="184"/>
      <c r="G94" s="184"/>
      <c r="H94" s="184"/>
      <c r="I94" s="184">
        <f>34545-34545</f>
        <v>0</v>
      </c>
      <c r="J94" s="184"/>
      <c r="K94" s="188">
        <f t="shared" si="3"/>
        <v>0</v>
      </c>
    </row>
    <row r="95" spans="1:11" ht="15.75">
      <c r="A95" s="181">
        <f t="shared" si="4"/>
        <v>91</v>
      </c>
      <c r="B95" s="104" t="s">
        <v>292</v>
      </c>
      <c r="C95" s="183"/>
      <c r="D95" s="184">
        <v>0</v>
      </c>
      <c r="E95" s="184"/>
      <c r="F95" s="184"/>
      <c r="G95" s="184"/>
      <c r="H95" s="184">
        <v>0</v>
      </c>
      <c r="I95" s="184">
        <f>10500-6500-4000</f>
        <v>0</v>
      </c>
      <c r="J95" s="184"/>
      <c r="K95" s="188">
        <f t="shared" si="3"/>
        <v>0</v>
      </c>
    </row>
    <row r="96" spans="1:11" ht="15.75">
      <c r="A96" s="181">
        <f t="shared" si="4"/>
        <v>92</v>
      </c>
      <c r="B96" s="104" t="s">
        <v>294</v>
      </c>
      <c r="C96" s="183"/>
      <c r="D96" s="184">
        <v>0</v>
      </c>
      <c r="E96" s="184"/>
      <c r="F96" s="184"/>
      <c r="G96" s="184"/>
      <c r="H96" s="184"/>
      <c r="I96" s="184">
        <f>11210-11210</f>
        <v>0</v>
      </c>
      <c r="J96" s="184">
        <f>14160-14160+16520</f>
        <v>16520</v>
      </c>
      <c r="K96" s="188">
        <f t="shared" si="3"/>
        <v>16520</v>
      </c>
    </row>
    <row r="97" spans="1:11" ht="15.75">
      <c r="A97" s="181">
        <f t="shared" si="4"/>
        <v>93</v>
      </c>
      <c r="B97" s="104" t="s">
        <v>296</v>
      </c>
      <c r="C97" s="183"/>
      <c r="D97" s="184">
        <v>0</v>
      </c>
      <c r="E97" s="184"/>
      <c r="F97" s="184"/>
      <c r="G97" s="184"/>
      <c r="H97" s="184"/>
      <c r="I97" s="184">
        <f>159500-159500</f>
        <v>0</v>
      </c>
      <c r="J97" s="184">
        <f>13280+78930-92210</f>
        <v>0</v>
      </c>
      <c r="K97" s="188">
        <f t="shared" si="3"/>
        <v>0</v>
      </c>
    </row>
    <row r="98" spans="1:11" ht="15.75">
      <c r="A98" s="181">
        <f t="shared" si="4"/>
        <v>94</v>
      </c>
      <c r="B98" s="104" t="s">
        <v>297</v>
      </c>
      <c r="C98" s="183"/>
      <c r="D98" s="184">
        <v>0</v>
      </c>
      <c r="E98" s="184"/>
      <c r="F98" s="184"/>
      <c r="G98" s="184"/>
      <c r="H98" s="184"/>
      <c r="I98" s="184">
        <f>230910.4-230910.4+31609+137729-31609-137729</f>
        <v>0</v>
      </c>
      <c r="J98" s="184">
        <f>150600-150600+119835-119835+85205.44-85205.44</f>
        <v>0</v>
      </c>
      <c r="K98" s="188">
        <f t="shared" si="3"/>
        <v>0</v>
      </c>
    </row>
    <row r="99" spans="1:11" ht="15.75">
      <c r="A99" s="181">
        <f t="shared" si="4"/>
        <v>95</v>
      </c>
      <c r="B99" s="104" t="s">
        <v>298</v>
      </c>
      <c r="C99" s="183"/>
      <c r="D99" s="184">
        <v>0</v>
      </c>
      <c r="E99" s="184"/>
      <c r="F99" s="184"/>
      <c r="G99" s="184"/>
      <c r="H99" s="184"/>
      <c r="I99" s="184"/>
      <c r="J99" s="184"/>
      <c r="K99" s="188">
        <f t="shared" si="3"/>
        <v>0</v>
      </c>
    </row>
    <row r="100" spans="1:11" ht="15.75">
      <c r="A100" s="181">
        <f t="shared" si="4"/>
        <v>96</v>
      </c>
      <c r="B100" s="104" t="s">
        <v>300</v>
      </c>
      <c r="C100" s="183"/>
      <c r="D100" s="184">
        <v>0</v>
      </c>
      <c r="E100" s="184"/>
      <c r="F100" s="184"/>
      <c r="G100" s="184"/>
      <c r="H100" s="184"/>
      <c r="I100" s="184">
        <f>161051.59444-161051.59444</f>
        <v>0</v>
      </c>
      <c r="J100" s="184"/>
      <c r="K100" s="188">
        <f t="shared" si="3"/>
        <v>0</v>
      </c>
    </row>
    <row r="101" spans="1:11" ht="15.75">
      <c r="A101" s="181">
        <f t="shared" si="4"/>
        <v>97</v>
      </c>
      <c r="B101" s="106" t="s">
        <v>302</v>
      </c>
      <c r="C101" s="183"/>
      <c r="D101" s="184">
        <v>0</v>
      </c>
      <c r="E101" s="184"/>
      <c r="F101" s="184"/>
      <c r="G101" s="184"/>
      <c r="H101" s="184"/>
      <c r="I101" s="184">
        <f>17611.5044455-17611.5044455</f>
        <v>0</v>
      </c>
      <c r="J101" s="184"/>
      <c r="K101" s="188">
        <f t="shared" ref="K101:K132" si="5">SUM(C101:J101)</f>
        <v>0</v>
      </c>
    </row>
    <row r="102" spans="1:11" ht="15.75">
      <c r="A102" s="181">
        <f t="shared" si="4"/>
        <v>98</v>
      </c>
      <c r="B102" s="104" t="s">
        <v>303</v>
      </c>
      <c r="C102" s="183"/>
      <c r="D102" s="184">
        <v>0</v>
      </c>
      <c r="E102" s="184"/>
      <c r="F102" s="184"/>
      <c r="G102" s="184"/>
      <c r="H102" s="184"/>
      <c r="I102" s="184">
        <f>35735.12-35735.12</f>
        <v>0</v>
      </c>
      <c r="J102" s="184"/>
      <c r="K102" s="188">
        <f t="shared" si="5"/>
        <v>0</v>
      </c>
    </row>
    <row r="103" spans="1:11" ht="15.75">
      <c r="A103" s="181">
        <f t="shared" si="4"/>
        <v>99</v>
      </c>
      <c r="B103" s="104" t="s">
        <v>305</v>
      </c>
      <c r="C103" s="183"/>
      <c r="D103" s="184">
        <v>0</v>
      </c>
      <c r="E103" s="184"/>
      <c r="F103" s="184"/>
      <c r="G103" s="184"/>
      <c r="H103" s="184"/>
      <c r="I103" s="184">
        <f>132435.36-132435.36</f>
        <v>0</v>
      </c>
      <c r="J103" s="184">
        <f>56592.8-56592.8+31399.94-31399.94</f>
        <v>0</v>
      </c>
      <c r="K103" s="188">
        <f t="shared" si="5"/>
        <v>0</v>
      </c>
    </row>
    <row r="104" spans="1:11" ht="15.75">
      <c r="A104" s="181">
        <f t="shared" si="4"/>
        <v>100</v>
      </c>
      <c r="B104" s="104" t="s">
        <v>307</v>
      </c>
      <c r="C104" s="183"/>
      <c r="D104" s="184">
        <v>0</v>
      </c>
      <c r="E104" s="184"/>
      <c r="F104" s="184"/>
      <c r="G104" s="184"/>
      <c r="H104" s="184"/>
      <c r="I104" s="184">
        <f>91875+71390-71390-91875+60400-60400</f>
        <v>0</v>
      </c>
      <c r="J104" s="184"/>
      <c r="K104" s="188">
        <f t="shared" si="5"/>
        <v>0</v>
      </c>
    </row>
    <row r="105" spans="1:11" ht="15.75">
      <c r="A105" s="181">
        <f t="shared" si="4"/>
        <v>101</v>
      </c>
      <c r="B105" s="104" t="s">
        <v>308</v>
      </c>
      <c r="C105" s="183"/>
      <c r="D105" s="184">
        <v>0</v>
      </c>
      <c r="E105" s="184"/>
      <c r="F105" s="184"/>
      <c r="G105" s="184"/>
      <c r="H105" s="184"/>
      <c r="I105" s="184">
        <f>25758-25758</f>
        <v>0</v>
      </c>
      <c r="J105" s="184"/>
      <c r="K105" s="188">
        <f t="shared" si="5"/>
        <v>0</v>
      </c>
    </row>
    <row r="106" spans="1:11" ht="15.75">
      <c r="A106" s="181">
        <f t="shared" si="4"/>
        <v>102</v>
      </c>
      <c r="B106" s="104" t="s">
        <v>309</v>
      </c>
      <c r="C106" s="183"/>
      <c r="D106" s="184">
        <v>0</v>
      </c>
      <c r="E106" s="184"/>
      <c r="F106" s="184"/>
      <c r="G106" s="184"/>
      <c r="H106" s="184"/>
      <c r="I106" s="184">
        <f>69710.37-69710.37</f>
        <v>0</v>
      </c>
      <c r="J106" s="184"/>
      <c r="K106" s="188">
        <f t="shared" si="5"/>
        <v>0</v>
      </c>
    </row>
    <row r="107" spans="1:11" ht="15.75">
      <c r="A107" s="181">
        <f>SUM(A106+1)</f>
        <v>103</v>
      </c>
      <c r="B107" s="104" t="s">
        <v>310</v>
      </c>
      <c r="C107" s="183"/>
      <c r="D107" s="184">
        <v>0</v>
      </c>
      <c r="E107" s="184"/>
      <c r="F107" s="184"/>
      <c r="G107" s="184"/>
      <c r="H107" s="184"/>
      <c r="I107" s="184">
        <f>486875-486875+165076.7-165076.7</f>
        <v>0</v>
      </c>
      <c r="J107" s="184">
        <f>58168.3+56008.7-58168.3-56008.7+53454.2-53454.2+53454.2-53454.2+7549</f>
        <v>7549</v>
      </c>
      <c r="K107" s="188">
        <f t="shared" si="5"/>
        <v>7549</v>
      </c>
    </row>
    <row r="108" spans="1:11" ht="15.75">
      <c r="A108" s="181">
        <f t="shared" ref="A108:A127" si="6">SUM(A107+1)</f>
        <v>104</v>
      </c>
      <c r="B108" s="104" t="s">
        <v>311</v>
      </c>
      <c r="C108" s="183"/>
      <c r="D108" s="184">
        <v>0</v>
      </c>
      <c r="E108" s="184"/>
      <c r="F108" s="184"/>
      <c r="G108" s="184"/>
      <c r="H108" s="184"/>
      <c r="I108" s="184">
        <f>722395.66+23463.12+163566-722395.66-23463.12-163566+91745-91745+112196.76-112196.76+748806-748806+155023.92-155023.92+741453-741453+123251-123251+67260-67260+235823-235823</f>
        <v>0</v>
      </c>
      <c r="J108" s="184">
        <f>62776-62776+356610-356610+20001-20001+439390.7-439390.7+96982.83-96982.83+546833-546833+150000-150000+222423.2-222423.2+232578-232578+160464.8-160464.8+103740-103740+159100-159100+1410-1410+554541-554541+51110-51110+257476+51110-51110+849777.19+55338-55338+475330-475330+88100-88100-257476-849777.19+242910.7+261180+116870+281148.84-281148.84+147106.44-147106.44+28910+240235-620960.7+29000+524100-524100-28910-240235-29000+462585.82-462585.82+293889.6-293889.6+89795-89795+62400-62400+689347.7-689347.7+53400-53400+527884-527884+563012-563012+271000-271000+1800+101250+149300+299948.61+847104.28+18762+3771.28</f>
        <v>1421936.1700000002</v>
      </c>
      <c r="K108" s="188">
        <f t="shared" si="5"/>
        <v>1421936.1700000002</v>
      </c>
    </row>
    <row r="109" spans="1:11" ht="15.75">
      <c r="A109" s="181">
        <f t="shared" si="6"/>
        <v>105</v>
      </c>
      <c r="B109" s="104" t="s">
        <v>312</v>
      </c>
      <c r="C109" s="183"/>
      <c r="D109" s="184">
        <v>0</v>
      </c>
      <c r="E109" s="184"/>
      <c r="F109" s="184"/>
      <c r="G109" s="184"/>
      <c r="H109" s="184"/>
      <c r="I109" s="184">
        <f>152570-152570+241120.94-241120.94</f>
        <v>0</v>
      </c>
      <c r="J109" s="184"/>
      <c r="K109" s="188">
        <f t="shared" si="5"/>
        <v>0</v>
      </c>
    </row>
    <row r="110" spans="1:11" ht="15.75">
      <c r="A110" s="181">
        <f t="shared" si="6"/>
        <v>106</v>
      </c>
      <c r="B110" s="104" t="s">
        <v>313</v>
      </c>
      <c r="C110" s="183"/>
      <c r="D110" s="184">
        <v>0</v>
      </c>
      <c r="E110" s="184"/>
      <c r="F110" s="184"/>
      <c r="G110" s="184"/>
      <c r="H110" s="184"/>
      <c r="I110" s="184">
        <f>124218.8-124218.8</f>
        <v>0</v>
      </c>
      <c r="J110" s="184">
        <f>136549.6+379391.64-379391.64-136549.6</f>
        <v>0</v>
      </c>
      <c r="K110" s="188">
        <f t="shared" si="5"/>
        <v>0</v>
      </c>
    </row>
    <row r="111" spans="1:11" ht="15.75">
      <c r="A111" s="181">
        <f t="shared" si="6"/>
        <v>107</v>
      </c>
      <c r="B111" s="104" t="s">
        <v>315</v>
      </c>
      <c r="C111" s="183"/>
      <c r="D111" s="184">
        <v>0</v>
      </c>
      <c r="E111" s="184"/>
      <c r="F111" s="184"/>
      <c r="G111" s="184"/>
      <c r="H111" s="184"/>
      <c r="I111" s="184">
        <f>90000-90000</f>
        <v>0</v>
      </c>
      <c r="J111" s="184">
        <v>26800</v>
      </c>
      <c r="K111" s="188">
        <f t="shared" si="5"/>
        <v>26800</v>
      </c>
    </row>
    <row r="112" spans="1:11" ht="15.75">
      <c r="A112" s="181">
        <f t="shared" si="6"/>
        <v>108</v>
      </c>
      <c r="B112" s="104" t="s">
        <v>316</v>
      </c>
      <c r="C112" s="183"/>
      <c r="D112" s="184">
        <v>0</v>
      </c>
      <c r="E112" s="184"/>
      <c r="F112" s="184"/>
      <c r="G112" s="184"/>
      <c r="H112" s="184"/>
      <c r="I112" s="184">
        <f>66000-66000</f>
        <v>0</v>
      </c>
      <c r="J112" s="184"/>
      <c r="K112" s="188">
        <f t="shared" si="5"/>
        <v>0</v>
      </c>
    </row>
    <row r="113" spans="1:11" ht="15.75">
      <c r="A113" s="181">
        <f t="shared" si="6"/>
        <v>109</v>
      </c>
      <c r="B113" s="104" t="s">
        <v>318</v>
      </c>
      <c r="C113" s="183"/>
      <c r="D113" s="184">
        <v>0</v>
      </c>
      <c r="E113" s="184"/>
      <c r="F113" s="184"/>
      <c r="G113" s="184"/>
      <c r="H113" s="184"/>
      <c r="I113" s="184">
        <f>61950-61950</f>
        <v>0</v>
      </c>
      <c r="J113" s="184"/>
      <c r="K113" s="188">
        <f t="shared" si="5"/>
        <v>0</v>
      </c>
    </row>
    <row r="114" spans="1:11" ht="15.75">
      <c r="A114" s="181">
        <f t="shared" si="6"/>
        <v>110</v>
      </c>
      <c r="B114" s="104" t="s">
        <v>320</v>
      </c>
      <c r="C114" s="183"/>
      <c r="D114" s="184">
        <v>0</v>
      </c>
      <c r="E114" s="184"/>
      <c r="F114" s="184"/>
      <c r="G114" s="184"/>
      <c r="H114" s="184"/>
      <c r="I114" s="184">
        <f>68606.68-68606.68</f>
        <v>0</v>
      </c>
      <c r="J114" s="184"/>
      <c r="K114" s="188">
        <f t="shared" si="5"/>
        <v>0</v>
      </c>
    </row>
    <row r="115" spans="1:11" ht="15.75">
      <c r="A115" s="181">
        <f t="shared" si="6"/>
        <v>111</v>
      </c>
      <c r="B115" s="104" t="s">
        <v>321</v>
      </c>
      <c r="C115" s="183"/>
      <c r="D115" s="184">
        <v>0</v>
      </c>
      <c r="E115" s="184"/>
      <c r="F115" s="184"/>
      <c r="G115" s="184"/>
      <c r="H115" s="184"/>
      <c r="I115" s="184">
        <f>180000-180000+617000-617000</f>
        <v>0</v>
      </c>
      <c r="J115" s="184">
        <f>433675-433675+314350-314350+56500+240600+134400</f>
        <v>431500</v>
      </c>
      <c r="K115" s="188">
        <f t="shared" si="5"/>
        <v>431500</v>
      </c>
    </row>
    <row r="116" spans="1:11" ht="15.75">
      <c r="A116" s="181">
        <f t="shared" si="6"/>
        <v>112</v>
      </c>
      <c r="B116" s="104" t="s">
        <v>403</v>
      </c>
      <c r="C116" s="183"/>
      <c r="D116" s="184">
        <v>0</v>
      </c>
      <c r="E116" s="184"/>
      <c r="F116" s="184"/>
      <c r="G116" s="184"/>
      <c r="H116" s="184"/>
      <c r="I116" s="184">
        <f>28999.99-28999.99</f>
        <v>0</v>
      </c>
      <c r="J116" s="184"/>
      <c r="K116" s="188">
        <f t="shared" si="5"/>
        <v>0</v>
      </c>
    </row>
    <row r="117" spans="1:11" ht="15.75">
      <c r="A117" s="181">
        <f t="shared" si="6"/>
        <v>113</v>
      </c>
      <c r="B117" s="104" t="s">
        <v>325</v>
      </c>
      <c r="C117" s="183"/>
      <c r="D117" s="184">
        <v>0</v>
      </c>
      <c r="E117" s="184"/>
      <c r="F117" s="184"/>
      <c r="G117" s="184"/>
      <c r="H117" s="184"/>
      <c r="I117" s="184">
        <f>106835+2690.99-106835-2690.99</f>
        <v>5.4569682106375694E-12</v>
      </c>
      <c r="J117" s="184">
        <f>106756-106756+106835+72258-106835-72258</f>
        <v>0</v>
      </c>
      <c r="K117" s="188">
        <f t="shared" si="5"/>
        <v>5.4569682106375694E-12</v>
      </c>
    </row>
    <row r="118" spans="1:11" ht="15.75">
      <c r="A118" s="181">
        <f t="shared" si="6"/>
        <v>114</v>
      </c>
      <c r="B118" s="104" t="s">
        <v>326</v>
      </c>
      <c r="C118" s="183"/>
      <c r="D118" s="184">
        <v>0</v>
      </c>
      <c r="E118" s="184"/>
      <c r="F118" s="184"/>
      <c r="G118" s="184"/>
      <c r="H118" s="184"/>
      <c r="I118" s="184">
        <f>24342.34-24342.34</f>
        <v>0</v>
      </c>
      <c r="J118" s="184">
        <f>24342.34+33061-24342.34-33061</f>
        <v>0</v>
      </c>
      <c r="K118" s="188">
        <f t="shared" si="5"/>
        <v>0</v>
      </c>
    </row>
    <row r="119" spans="1:11" ht="15.75">
      <c r="A119" s="181">
        <f t="shared" si="6"/>
        <v>115</v>
      </c>
      <c r="B119" s="104" t="s">
        <v>327</v>
      </c>
      <c r="C119" s="183"/>
      <c r="D119" s="184">
        <v>0</v>
      </c>
      <c r="E119" s="184"/>
      <c r="F119" s="184"/>
      <c r="G119" s="184"/>
      <c r="H119" s="184"/>
      <c r="I119" s="184">
        <f>123900-123900</f>
        <v>0</v>
      </c>
      <c r="J119" s="184">
        <f>42480-42480+42480-42480</f>
        <v>0</v>
      </c>
      <c r="K119" s="188">
        <f t="shared" si="5"/>
        <v>0</v>
      </c>
    </row>
    <row r="120" spans="1:11" ht="15.75">
      <c r="A120" s="181">
        <f t="shared" si="6"/>
        <v>116</v>
      </c>
      <c r="B120" s="104" t="s">
        <v>328</v>
      </c>
      <c r="C120" s="183"/>
      <c r="D120" s="184">
        <v>0</v>
      </c>
      <c r="E120" s="184"/>
      <c r="F120" s="184"/>
      <c r="G120" s="184"/>
      <c r="H120" s="184"/>
      <c r="I120" s="184">
        <f>24000-24000</f>
        <v>0</v>
      </c>
      <c r="J120" s="184"/>
      <c r="K120" s="188">
        <f t="shared" si="5"/>
        <v>0</v>
      </c>
    </row>
    <row r="121" spans="1:11" ht="15.75">
      <c r="A121" s="181">
        <f t="shared" si="6"/>
        <v>117</v>
      </c>
      <c r="B121" s="106" t="s">
        <v>329</v>
      </c>
      <c r="C121" s="183"/>
      <c r="D121" s="184">
        <v>0</v>
      </c>
      <c r="E121" s="184"/>
      <c r="F121" s="184"/>
      <c r="G121" s="184"/>
      <c r="H121" s="184"/>
      <c r="I121" s="184">
        <f>164659.56-164659.56</f>
        <v>0</v>
      </c>
      <c r="J121" s="184"/>
      <c r="K121" s="188">
        <f t="shared" si="5"/>
        <v>0</v>
      </c>
    </row>
    <row r="122" spans="1:11" ht="15.75">
      <c r="A122" s="181">
        <f t="shared" si="6"/>
        <v>118</v>
      </c>
      <c r="B122" s="106" t="s">
        <v>330</v>
      </c>
      <c r="C122" s="183"/>
      <c r="D122" s="184">
        <v>0</v>
      </c>
      <c r="E122" s="184"/>
      <c r="F122" s="184"/>
      <c r="G122" s="184"/>
      <c r="H122" s="184"/>
      <c r="I122" s="184">
        <f>51477.5-51477.5</f>
        <v>0</v>
      </c>
      <c r="J122" s="184">
        <f>49843.2-49843.2</f>
        <v>0</v>
      </c>
      <c r="K122" s="188">
        <f t="shared" si="5"/>
        <v>0</v>
      </c>
    </row>
    <row r="123" spans="1:11" ht="15.75">
      <c r="A123" s="181">
        <f t="shared" si="6"/>
        <v>119</v>
      </c>
      <c r="B123" s="106" t="s">
        <v>332</v>
      </c>
      <c r="C123" s="183"/>
      <c r="D123" s="184">
        <v>0</v>
      </c>
      <c r="E123" s="184"/>
      <c r="F123" s="184"/>
      <c r="G123" s="184"/>
      <c r="H123" s="184"/>
      <c r="I123" s="184"/>
      <c r="J123" s="184">
        <f>109717.2-109717.2</f>
        <v>0</v>
      </c>
      <c r="K123" s="188">
        <f t="shared" si="5"/>
        <v>0</v>
      </c>
    </row>
    <row r="124" spans="1:11" ht="15.75">
      <c r="A124" s="181">
        <f t="shared" si="6"/>
        <v>120</v>
      </c>
      <c r="B124" s="106" t="s">
        <v>334</v>
      </c>
      <c r="C124" s="183"/>
      <c r="D124" s="184">
        <v>0</v>
      </c>
      <c r="E124" s="184"/>
      <c r="F124" s="184"/>
      <c r="G124" s="184"/>
      <c r="H124" s="184"/>
      <c r="I124" s="184"/>
      <c r="J124" s="184">
        <f>300000+300000-300000-300000+300000+300000-300000-300000+300000-300000+489924</f>
        <v>489924</v>
      </c>
      <c r="K124" s="188">
        <f t="shared" si="5"/>
        <v>489924</v>
      </c>
    </row>
    <row r="125" spans="1:11" ht="15.75">
      <c r="A125" s="181">
        <f t="shared" si="6"/>
        <v>121</v>
      </c>
      <c r="B125" s="104" t="s">
        <v>335</v>
      </c>
      <c r="C125" s="183"/>
      <c r="D125" s="184">
        <v>0</v>
      </c>
      <c r="E125" s="184"/>
      <c r="F125" s="184"/>
      <c r="G125" s="184"/>
      <c r="H125" s="184"/>
      <c r="I125" s="184"/>
      <c r="J125" s="184">
        <f>129612.85-129612.85+389449.56-389449.56</f>
        <v>0</v>
      </c>
      <c r="K125" s="188">
        <f t="shared" si="5"/>
        <v>0</v>
      </c>
    </row>
    <row r="126" spans="1:11" ht="15.75">
      <c r="A126" s="181">
        <f t="shared" si="6"/>
        <v>122</v>
      </c>
      <c r="B126" s="104" t="s">
        <v>337</v>
      </c>
      <c r="C126" s="183"/>
      <c r="D126" s="184">
        <v>0</v>
      </c>
      <c r="E126" s="184"/>
      <c r="F126" s="184"/>
      <c r="G126" s="184"/>
      <c r="H126" s="184"/>
      <c r="I126" s="184"/>
      <c r="J126" s="184">
        <f>4000-4000+165000-165000+226000-226000</f>
        <v>0</v>
      </c>
      <c r="K126" s="188">
        <f t="shared" si="5"/>
        <v>0</v>
      </c>
    </row>
    <row r="127" spans="1:11" ht="15.75">
      <c r="A127" s="181">
        <f t="shared" si="6"/>
        <v>123</v>
      </c>
      <c r="B127" s="106" t="s">
        <v>339</v>
      </c>
      <c r="C127" s="183"/>
      <c r="D127" s="184">
        <v>0</v>
      </c>
      <c r="E127" s="184"/>
      <c r="F127" s="184"/>
      <c r="G127" s="184"/>
      <c r="H127" s="184"/>
      <c r="I127" s="184"/>
      <c r="J127" s="184">
        <f>32213.92-32213.92+209691.37-209691.37+83240.02-83240.02</f>
        <v>0</v>
      </c>
      <c r="K127" s="188">
        <f t="shared" si="5"/>
        <v>0</v>
      </c>
    </row>
    <row r="128" spans="1:11" ht="15.75">
      <c r="A128" s="181">
        <f>SUM(A127+1)</f>
        <v>124</v>
      </c>
      <c r="B128" s="106" t="s">
        <v>340</v>
      </c>
      <c r="C128" s="183"/>
      <c r="D128" s="184">
        <v>0</v>
      </c>
      <c r="E128" s="184"/>
      <c r="F128" s="184"/>
      <c r="G128" s="184"/>
      <c r="H128" s="184"/>
      <c r="I128" s="184"/>
      <c r="J128" s="184">
        <f>23836-23836</f>
        <v>0</v>
      </c>
      <c r="K128" s="188">
        <f t="shared" si="5"/>
        <v>0</v>
      </c>
    </row>
    <row r="129" spans="1:11" ht="15.75">
      <c r="A129" s="181">
        <f t="shared" ref="A129:A145" si="7">SUM(A128+1)</f>
        <v>125</v>
      </c>
      <c r="B129" s="106" t="s">
        <v>404</v>
      </c>
      <c r="C129" s="183"/>
      <c r="D129" s="184">
        <v>0</v>
      </c>
      <c r="E129" s="184"/>
      <c r="F129" s="184"/>
      <c r="G129" s="184"/>
      <c r="H129" s="184"/>
      <c r="I129" s="184"/>
      <c r="J129" s="184">
        <f>49088-49088+21476+85000+73500-179976+60000-60000</f>
        <v>0</v>
      </c>
      <c r="K129" s="188">
        <f t="shared" si="5"/>
        <v>0</v>
      </c>
    </row>
    <row r="130" spans="1:11">
      <c r="A130" s="181">
        <f t="shared" si="7"/>
        <v>126</v>
      </c>
      <c r="B130" s="107" t="s">
        <v>343</v>
      </c>
      <c r="C130" s="183"/>
      <c r="D130" s="184">
        <v>0</v>
      </c>
      <c r="E130" s="184"/>
      <c r="F130" s="184"/>
      <c r="G130" s="184"/>
      <c r="H130" s="184"/>
      <c r="I130" s="184"/>
      <c r="J130" s="184">
        <f>97550-97550+108050-108050</f>
        <v>0</v>
      </c>
      <c r="K130" s="188">
        <f t="shared" si="5"/>
        <v>0</v>
      </c>
    </row>
    <row r="131" spans="1:11">
      <c r="A131" s="181">
        <f t="shared" si="7"/>
        <v>127</v>
      </c>
      <c r="B131" s="107" t="s">
        <v>405</v>
      </c>
      <c r="C131" s="183"/>
      <c r="D131" s="184">
        <v>0</v>
      </c>
      <c r="E131" s="184"/>
      <c r="F131" s="184"/>
      <c r="G131" s="184"/>
      <c r="H131" s="184"/>
      <c r="I131" s="184"/>
      <c r="J131" s="184">
        <f>25606-25606</f>
        <v>0</v>
      </c>
      <c r="K131" s="188">
        <f t="shared" si="5"/>
        <v>0</v>
      </c>
    </row>
    <row r="132" spans="1:11" ht="15.75">
      <c r="A132" s="181">
        <f t="shared" si="7"/>
        <v>128</v>
      </c>
      <c r="B132" s="104" t="s">
        <v>347</v>
      </c>
      <c r="C132" s="183"/>
      <c r="D132" s="184">
        <v>0</v>
      </c>
      <c r="E132" s="184"/>
      <c r="F132" s="184"/>
      <c r="G132" s="184"/>
      <c r="H132" s="184"/>
      <c r="I132" s="184"/>
      <c r="J132" s="184">
        <f>57000+57000+57000-57000-57000-57000</f>
        <v>0</v>
      </c>
      <c r="K132" s="188">
        <f t="shared" si="5"/>
        <v>0</v>
      </c>
    </row>
    <row r="133" spans="1:11" ht="15.75">
      <c r="A133" s="181">
        <f t="shared" si="7"/>
        <v>129</v>
      </c>
      <c r="B133" s="104" t="s">
        <v>348</v>
      </c>
      <c r="C133" s="183"/>
      <c r="D133" s="184">
        <v>0</v>
      </c>
      <c r="E133" s="184"/>
      <c r="F133" s="184"/>
      <c r="G133" s="184"/>
      <c r="H133" s="184"/>
      <c r="I133" s="184"/>
      <c r="J133" s="184">
        <f>106495-106495</f>
        <v>0</v>
      </c>
      <c r="K133" s="188">
        <f t="shared" ref="K133:K152" si="8">SUM(C133:J133)</f>
        <v>0</v>
      </c>
    </row>
    <row r="134" spans="1:11" ht="15.75">
      <c r="A134" s="181">
        <f t="shared" si="7"/>
        <v>130</v>
      </c>
      <c r="B134" s="104" t="s">
        <v>350</v>
      </c>
      <c r="C134" s="183"/>
      <c r="D134" s="184">
        <v>0</v>
      </c>
      <c r="E134" s="184"/>
      <c r="F134" s="184"/>
      <c r="G134" s="184"/>
      <c r="H134" s="184"/>
      <c r="I134" s="184"/>
      <c r="J134" s="184">
        <f>28813.52-28813.52+197060-197060+233640+269781.04-233640-269781.04+37844.96-37844.96+94551.04-94551.04+159123+17049.11</f>
        <v>176172.11</v>
      </c>
      <c r="K134" s="188">
        <f t="shared" si="8"/>
        <v>176172.11</v>
      </c>
    </row>
    <row r="135" spans="1:11" ht="15.75">
      <c r="A135" s="181">
        <f t="shared" si="7"/>
        <v>131</v>
      </c>
      <c r="B135" s="104" t="s">
        <v>352</v>
      </c>
      <c r="C135" s="183"/>
      <c r="D135" s="184">
        <v>0</v>
      </c>
      <c r="E135" s="184"/>
      <c r="F135" s="184"/>
      <c r="G135" s="184"/>
      <c r="H135" s="184"/>
      <c r="I135" s="184"/>
      <c r="J135" s="184">
        <f>6663.12-6663.12</f>
        <v>0</v>
      </c>
      <c r="K135" s="188">
        <f t="shared" si="8"/>
        <v>0</v>
      </c>
    </row>
    <row r="136" spans="1:11" ht="15.75">
      <c r="A136" s="181">
        <f t="shared" si="7"/>
        <v>132</v>
      </c>
      <c r="B136" s="104" t="s">
        <v>354</v>
      </c>
      <c r="C136" s="183"/>
      <c r="D136" s="184">
        <v>0</v>
      </c>
      <c r="E136" s="184"/>
      <c r="F136" s="184"/>
      <c r="G136" s="184"/>
      <c r="H136" s="184"/>
      <c r="I136" s="184"/>
      <c r="J136" s="184">
        <f>72000+91425+135350-17000-281775+57600+50900-57600-50900+70700-70700+42590+15300-15300+21800-42590+201200</f>
        <v>223000</v>
      </c>
      <c r="K136" s="188">
        <f t="shared" si="8"/>
        <v>223000</v>
      </c>
    </row>
    <row r="137" spans="1:11" ht="15.75">
      <c r="A137" s="181">
        <f t="shared" si="7"/>
        <v>133</v>
      </c>
      <c r="B137" s="104" t="s">
        <v>355</v>
      </c>
      <c r="C137" s="183"/>
      <c r="D137" s="184">
        <v>0</v>
      </c>
      <c r="E137" s="184"/>
      <c r="F137" s="184"/>
      <c r="G137" s="184"/>
      <c r="H137" s="184"/>
      <c r="I137" s="184"/>
      <c r="J137" s="184">
        <f>130000-130000</f>
        <v>0</v>
      </c>
      <c r="K137" s="188">
        <f t="shared" si="8"/>
        <v>0</v>
      </c>
    </row>
    <row r="138" spans="1:11" ht="15.75">
      <c r="A138" s="181">
        <f t="shared" si="7"/>
        <v>134</v>
      </c>
      <c r="B138" s="104" t="s">
        <v>356</v>
      </c>
      <c r="C138" s="183"/>
      <c r="D138" s="184">
        <v>0</v>
      </c>
      <c r="E138" s="184"/>
      <c r="F138" s="184"/>
      <c r="G138" s="184"/>
      <c r="H138" s="184"/>
      <c r="I138" s="184"/>
      <c r="J138" s="184">
        <f>34600+27300-34600-27300</f>
        <v>0</v>
      </c>
      <c r="K138" s="188">
        <f t="shared" si="8"/>
        <v>0</v>
      </c>
    </row>
    <row r="139" spans="1:11" ht="15.75">
      <c r="A139" s="181">
        <f t="shared" si="7"/>
        <v>135</v>
      </c>
      <c r="B139" s="104" t="s">
        <v>358</v>
      </c>
      <c r="C139" s="183"/>
      <c r="D139" s="184">
        <v>0</v>
      </c>
      <c r="E139" s="184"/>
      <c r="F139" s="184"/>
      <c r="G139" s="184"/>
      <c r="H139" s="184"/>
      <c r="I139" s="184"/>
      <c r="J139" s="184">
        <f>146733-146733</f>
        <v>0</v>
      </c>
      <c r="K139" s="188">
        <f t="shared" si="8"/>
        <v>0</v>
      </c>
    </row>
    <row r="140" spans="1:11" ht="15.75">
      <c r="A140" s="181">
        <f t="shared" si="7"/>
        <v>136</v>
      </c>
      <c r="B140" s="104" t="s">
        <v>360</v>
      </c>
      <c r="C140" s="183"/>
      <c r="D140" s="184">
        <v>0</v>
      </c>
      <c r="E140" s="184"/>
      <c r="F140" s="184"/>
      <c r="G140" s="184"/>
      <c r="H140" s="184"/>
      <c r="I140" s="184"/>
      <c r="J140" s="184">
        <f>27500-27500</f>
        <v>0</v>
      </c>
      <c r="K140" s="188">
        <f t="shared" si="8"/>
        <v>0</v>
      </c>
    </row>
    <row r="141" spans="1:11" ht="15.75">
      <c r="A141" s="181">
        <f t="shared" si="7"/>
        <v>137</v>
      </c>
      <c r="B141" s="104" t="s">
        <v>361</v>
      </c>
      <c r="C141" s="183"/>
      <c r="D141" s="184">
        <v>0</v>
      </c>
      <c r="E141" s="184"/>
      <c r="F141" s="184"/>
      <c r="G141" s="184"/>
      <c r="H141" s="184"/>
      <c r="I141" s="184"/>
      <c r="J141" s="184">
        <f>18500+18500-18500-18500</f>
        <v>0</v>
      </c>
      <c r="K141" s="188">
        <f t="shared" si="8"/>
        <v>0</v>
      </c>
    </row>
    <row r="142" spans="1:11" ht="15.75">
      <c r="A142" s="181">
        <f t="shared" si="7"/>
        <v>138</v>
      </c>
      <c r="B142" s="104" t="s">
        <v>363</v>
      </c>
      <c r="C142" s="183"/>
      <c r="D142" s="184">
        <v>0</v>
      </c>
      <c r="E142" s="184"/>
      <c r="F142" s="184"/>
      <c r="G142" s="184"/>
      <c r="H142" s="184"/>
      <c r="I142" s="184"/>
      <c r="J142" s="184">
        <f>23600-23600</f>
        <v>0</v>
      </c>
      <c r="K142" s="188">
        <f t="shared" si="8"/>
        <v>0</v>
      </c>
    </row>
    <row r="143" spans="1:11" ht="15.75">
      <c r="A143" s="181">
        <f t="shared" si="7"/>
        <v>139</v>
      </c>
      <c r="B143" s="104" t="s">
        <v>365</v>
      </c>
      <c r="C143" s="183"/>
      <c r="D143" s="184">
        <v>0</v>
      </c>
      <c r="E143" s="184"/>
      <c r="F143" s="184"/>
      <c r="G143" s="184"/>
      <c r="H143" s="184"/>
      <c r="I143" s="184"/>
      <c r="J143" s="184">
        <f>125718+33942.7+153220.65-153220.65-125718-33942.7+153220.65-153220.65+29300-29300+236477-236477+458769-458769+378728+72452</f>
        <v>451180</v>
      </c>
      <c r="K143" s="188">
        <f t="shared" si="8"/>
        <v>451180</v>
      </c>
    </row>
    <row r="144" spans="1:11" ht="15.75">
      <c r="A144" s="181">
        <f t="shared" si="7"/>
        <v>140</v>
      </c>
      <c r="B144" s="104" t="s">
        <v>367</v>
      </c>
      <c r="C144" s="183"/>
      <c r="D144" s="184">
        <v>0</v>
      </c>
      <c r="E144" s="184"/>
      <c r="F144" s="184"/>
      <c r="G144" s="184"/>
      <c r="H144" s="184"/>
      <c r="I144" s="184"/>
      <c r="J144" s="184">
        <f>59590-59590</f>
        <v>0</v>
      </c>
      <c r="K144" s="188">
        <f t="shared" si="8"/>
        <v>0</v>
      </c>
    </row>
    <row r="145" spans="1:11" ht="15.75">
      <c r="A145" s="196">
        <f t="shared" si="7"/>
        <v>141</v>
      </c>
      <c r="B145" s="197" t="s">
        <v>369</v>
      </c>
      <c r="C145" s="198"/>
      <c r="D145" s="199">
        <v>0</v>
      </c>
      <c r="E145" s="199"/>
      <c r="F145" s="199"/>
      <c r="G145" s="199"/>
      <c r="H145" s="199"/>
      <c r="I145" s="199"/>
      <c r="J145" s="199">
        <f>7500-7500+410000-410000+240000+52746</f>
        <v>292746</v>
      </c>
      <c r="K145" s="200">
        <f t="shared" si="8"/>
        <v>292746</v>
      </c>
    </row>
    <row r="146" spans="1:11" ht="15.75">
      <c r="A146" s="201">
        <v>142</v>
      </c>
      <c r="B146" s="106" t="s">
        <v>406</v>
      </c>
      <c r="C146" s="202"/>
      <c r="D146" s="199">
        <v>0</v>
      </c>
      <c r="E146" s="184"/>
      <c r="F146" s="184"/>
      <c r="G146" s="184"/>
      <c r="H146" s="184"/>
      <c r="I146" s="184"/>
      <c r="J146" s="184">
        <v>99500</v>
      </c>
      <c r="K146" s="200">
        <f t="shared" si="8"/>
        <v>99500</v>
      </c>
    </row>
    <row r="147" spans="1:11" ht="15.75">
      <c r="A147" s="201">
        <v>143</v>
      </c>
      <c r="B147" s="106" t="s">
        <v>407</v>
      </c>
      <c r="C147" s="202"/>
      <c r="D147" s="199">
        <v>0</v>
      </c>
      <c r="E147" s="184"/>
      <c r="F147" s="184"/>
      <c r="G147" s="184"/>
      <c r="H147" s="184"/>
      <c r="I147" s="184"/>
      <c r="J147" s="184">
        <f>10974-10974</f>
        <v>0</v>
      </c>
      <c r="K147" s="200">
        <f t="shared" si="8"/>
        <v>0</v>
      </c>
    </row>
    <row r="148" spans="1:11" ht="15.75">
      <c r="A148" s="201">
        <v>144</v>
      </c>
      <c r="B148" s="106" t="s">
        <v>387</v>
      </c>
      <c r="C148" s="202"/>
      <c r="D148" s="199">
        <v>0</v>
      </c>
      <c r="E148" s="184"/>
      <c r="F148" s="184"/>
      <c r="G148" s="184"/>
      <c r="H148" s="184"/>
      <c r="I148" s="184"/>
      <c r="J148" s="184">
        <v>293357.44</v>
      </c>
      <c r="K148" s="200">
        <f t="shared" si="8"/>
        <v>293357.44</v>
      </c>
    </row>
    <row r="149" spans="1:11" ht="15.75">
      <c r="A149" s="201">
        <v>145</v>
      </c>
      <c r="B149" s="106" t="s">
        <v>389</v>
      </c>
      <c r="C149" s="202"/>
      <c r="D149" s="199">
        <v>0</v>
      </c>
      <c r="E149" s="184"/>
      <c r="F149" s="184"/>
      <c r="G149" s="184"/>
      <c r="H149" s="184"/>
      <c r="I149" s="184"/>
      <c r="J149" s="184">
        <v>32445.66</v>
      </c>
      <c r="K149" s="200">
        <f t="shared" si="8"/>
        <v>32445.66</v>
      </c>
    </row>
    <row r="150" spans="1:11" ht="15.75">
      <c r="A150" s="201">
        <v>146</v>
      </c>
      <c r="B150" s="106" t="s">
        <v>390</v>
      </c>
      <c r="C150" s="202"/>
      <c r="D150" s="199">
        <v>0</v>
      </c>
      <c r="E150" s="184"/>
      <c r="F150" s="184"/>
      <c r="G150" s="184"/>
      <c r="H150" s="184"/>
      <c r="I150" s="184"/>
      <c r="J150" s="184">
        <v>29000</v>
      </c>
      <c r="K150" s="200">
        <f t="shared" si="8"/>
        <v>29000</v>
      </c>
    </row>
    <row r="151" spans="1:11" ht="15.75">
      <c r="A151" s="201">
        <v>147</v>
      </c>
      <c r="B151" s="106" t="s">
        <v>391</v>
      </c>
      <c r="C151" s="202"/>
      <c r="D151" s="199">
        <v>0</v>
      </c>
      <c r="E151" s="184"/>
      <c r="F151" s="184"/>
      <c r="G151" s="184"/>
      <c r="H151" s="184"/>
      <c r="I151" s="184"/>
      <c r="J151" s="184">
        <v>455119.33</v>
      </c>
      <c r="K151" s="200">
        <f t="shared" si="8"/>
        <v>455119.33</v>
      </c>
    </row>
    <row r="152" spans="1:11" ht="15.75">
      <c r="A152" s="201"/>
      <c r="B152" s="106"/>
      <c r="C152" s="202"/>
      <c r="D152" s="199">
        <v>0</v>
      </c>
      <c r="E152" s="184"/>
      <c r="F152" s="184"/>
      <c r="G152" s="184"/>
      <c r="H152" s="184"/>
      <c r="I152" s="184"/>
      <c r="J152" s="184"/>
      <c r="K152" s="200">
        <f t="shared" si="8"/>
        <v>0</v>
      </c>
    </row>
    <row r="153" spans="1:11" ht="15.75">
      <c r="A153" s="203" t="s">
        <v>35</v>
      </c>
      <c r="B153" s="204"/>
      <c r="C153" s="205">
        <f>SUM(C5:C145)</f>
        <v>0</v>
      </c>
      <c r="D153" s="205">
        <f>SUM(D5:D152)</f>
        <v>1985213.94</v>
      </c>
      <c r="E153" s="205">
        <f t="shared" ref="E153:I153" si="9">SUM(E5:E152)</f>
        <v>337374</v>
      </c>
      <c r="F153" s="205">
        <f t="shared" si="9"/>
        <v>0</v>
      </c>
      <c r="G153" s="205">
        <f t="shared" si="9"/>
        <v>133284.70000000001</v>
      </c>
      <c r="H153" s="205">
        <f t="shared" si="9"/>
        <v>728003.80999999994</v>
      </c>
      <c r="I153" s="205">
        <f t="shared" si="9"/>
        <v>1039306.6999999995</v>
      </c>
      <c r="J153" s="205">
        <f>SUM(J5:J152)</f>
        <v>8710355.4199999999</v>
      </c>
      <c r="K153" s="206">
        <f>SUM(K5:K152)</f>
        <v>12933538.569999997</v>
      </c>
    </row>
    <row r="155" spans="1:11">
      <c r="K155" s="207"/>
    </row>
  </sheetData>
  <mergeCells count="6">
    <mergeCell ref="A1:K1"/>
    <mergeCell ref="A2:K2"/>
    <mergeCell ref="A3:A4"/>
    <mergeCell ref="B3:B4"/>
    <mergeCell ref="C3:J3"/>
    <mergeCell ref="K3:K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11"/>
  <sheetViews>
    <sheetView workbookViewId="0">
      <selection activeCell="A5" sqref="A5:F5"/>
    </sheetView>
  </sheetViews>
  <sheetFormatPr baseColWidth="10" defaultRowHeight="15"/>
  <cols>
    <col min="2" max="2" width="15.5703125" bestFit="1" customWidth="1"/>
    <col min="3" max="3" width="14.85546875" bestFit="1" customWidth="1"/>
    <col min="4" max="4" width="55.7109375" bestFit="1" customWidth="1"/>
    <col min="5" max="5" width="54.28515625" bestFit="1" customWidth="1"/>
    <col min="6" max="6" width="17.7109375" bestFit="1" customWidth="1"/>
  </cols>
  <sheetData>
    <row r="3" spans="1:6">
      <c r="A3" s="131" t="s">
        <v>408</v>
      </c>
      <c r="B3" s="131"/>
      <c r="C3" s="131"/>
      <c r="D3" s="131"/>
      <c r="E3" s="131"/>
      <c r="F3" s="131"/>
    </row>
    <row r="4" spans="1:6" ht="18.75">
      <c r="A4" s="127" t="s">
        <v>409</v>
      </c>
      <c r="B4" s="127"/>
      <c r="C4" s="127"/>
      <c r="D4" s="127"/>
      <c r="E4" s="127"/>
      <c r="F4" s="127"/>
    </row>
    <row r="5" spans="1:6" ht="18.75">
      <c r="A5" s="127" t="s">
        <v>764</v>
      </c>
      <c r="B5" s="127"/>
      <c r="C5" s="127"/>
      <c r="D5" s="127"/>
      <c r="E5" s="127"/>
      <c r="F5" s="127"/>
    </row>
    <row r="6" spans="1:6" ht="18.75">
      <c r="A6" s="208" t="s">
        <v>410</v>
      </c>
      <c r="B6" s="208"/>
      <c r="C6" s="208"/>
      <c r="D6" s="208" t="s">
        <v>411</v>
      </c>
      <c r="E6" s="208"/>
      <c r="F6" s="208"/>
    </row>
    <row r="7" spans="1:6" ht="47.25">
      <c r="A7" s="209" t="s">
        <v>412</v>
      </c>
      <c r="B7" s="210" t="s">
        <v>413</v>
      </c>
      <c r="C7" s="211" t="s">
        <v>414</v>
      </c>
      <c r="D7" s="100" t="s">
        <v>132</v>
      </c>
      <c r="E7" s="209" t="s">
        <v>415</v>
      </c>
      <c r="F7" s="209" t="s">
        <v>416</v>
      </c>
    </row>
    <row r="8" spans="1:6" ht="15.75">
      <c r="A8" s="212">
        <v>43731</v>
      </c>
      <c r="B8" s="213"/>
      <c r="C8" s="214">
        <v>291</v>
      </c>
      <c r="D8" s="214" t="s">
        <v>417</v>
      </c>
      <c r="E8" s="215"/>
      <c r="F8" s="216">
        <v>17530</v>
      </c>
    </row>
    <row r="9" spans="1:6" ht="15.75">
      <c r="A9" s="212">
        <v>43759</v>
      </c>
      <c r="B9" s="213"/>
      <c r="C9" s="214">
        <v>290</v>
      </c>
      <c r="D9" s="214" t="s">
        <v>417</v>
      </c>
      <c r="E9" s="215"/>
      <c r="F9" s="216">
        <v>32980</v>
      </c>
    </row>
    <row r="10" spans="1:6" ht="15.75">
      <c r="A10" s="212">
        <v>43787</v>
      </c>
      <c r="B10" s="213"/>
      <c r="C10" s="214">
        <v>300</v>
      </c>
      <c r="D10" s="214" t="s">
        <v>417</v>
      </c>
      <c r="E10" s="215"/>
      <c r="F10" s="216">
        <v>33945</v>
      </c>
    </row>
    <row r="11" spans="1:6" ht="15.75">
      <c r="A11" s="212">
        <v>43801</v>
      </c>
      <c r="B11" s="217"/>
      <c r="C11" s="214">
        <v>305</v>
      </c>
      <c r="D11" s="214" t="s">
        <v>417</v>
      </c>
      <c r="E11" s="215"/>
      <c r="F11" s="216">
        <v>98400</v>
      </c>
    </row>
    <row r="12" spans="1:6" ht="15.75">
      <c r="A12" s="212">
        <v>43815</v>
      </c>
      <c r="B12" s="213"/>
      <c r="C12" s="214">
        <v>308</v>
      </c>
      <c r="D12" s="214" t="s">
        <v>417</v>
      </c>
      <c r="E12" s="215"/>
      <c r="F12" s="216">
        <v>25820</v>
      </c>
    </row>
    <row r="13" spans="1:6" ht="15.75">
      <c r="A13" s="212">
        <v>43826</v>
      </c>
      <c r="B13" s="215"/>
      <c r="C13" s="214">
        <v>314</v>
      </c>
      <c r="D13" s="214" t="s">
        <v>417</v>
      </c>
      <c r="E13" s="215"/>
      <c r="F13" s="216">
        <v>108110</v>
      </c>
    </row>
    <row r="14" spans="1:6" ht="15.75">
      <c r="A14" s="212">
        <v>43838</v>
      </c>
      <c r="B14" s="217"/>
      <c r="C14" s="214">
        <v>320</v>
      </c>
      <c r="D14" s="214" t="s">
        <v>417</v>
      </c>
      <c r="E14" s="215"/>
      <c r="F14" s="216">
        <v>26040</v>
      </c>
    </row>
    <row r="15" spans="1:6" ht="15.75">
      <c r="A15" s="212">
        <v>43845</v>
      </c>
      <c r="B15" s="217"/>
      <c r="C15" s="214">
        <v>321</v>
      </c>
      <c r="D15" s="214" t="s">
        <v>417</v>
      </c>
      <c r="E15" s="215"/>
      <c r="F15" s="216">
        <v>27640</v>
      </c>
    </row>
    <row r="16" spans="1:6" ht="15.75">
      <c r="A16" s="212">
        <v>43857</v>
      </c>
      <c r="B16" s="217"/>
      <c r="C16" s="214">
        <v>324</v>
      </c>
      <c r="D16" s="214" t="s">
        <v>417</v>
      </c>
      <c r="E16" s="215"/>
      <c r="F16" s="216">
        <v>101285</v>
      </c>
    </row>
    <row r="17" spans="1:6" ht="15.75">
      <c r="A17" s="218">
        <v>44147</v>
      </c>
      <c r="B17" s="219"/>
      <c r="C17" s="214" t="s">
        <v>418</v>
      </c>
      <c r="D17" s="220" t="s">
        <v>419</v>
      </c>
      <c r="E17" s="192"/>
      <c r="F17" s="221">
        <v>2020.1200000000008</v>
      </c>
    </row>
    <row r="18" spans="1:6" ht="15.75">
      <c r="A18" s="218">
        <v>44158</v>
      </c>
      <c r="B18" s="219"/>
      <c r="C18" s="214" t="s">
        <v>420</v>
      </c>
      <c r="D18" s="220" t="s">
        <v>419</v>
      </c>
      <c r="E18" s="192"/>
      <c r="F18" s="221">
        <v>14466.8</v>
      </c>
    </row>
    <row r="19" spans="1:6" ht="15.75">
      <c r="A19" s="218">
        <v>44165</v>
      </c>
      <c r="B19" s="219"/>
      <c r="C19" s="214" t="s">
        <v>421</v>
      </c>
      <c r="D19" s="220" t="s">
        <v>419</v>
      </c>
      <c r="E19" s="192"/>
      <c r="F19" s="221">
        <v>13886.24</v>
      </c>
    </row>
    <row r="20" spans="1:6" ht="15.75">
      <c r="A20" s="218">
        <v>44169</v>
      </c>
      <c r="B20" s="219"/>
      <c r="C20" s="214" t="s">
        <v>422</v>
      </c>
      <c r="D20" s="220" t="s">
        <v>419</v>
      </c>
      <c r="E20" s="192"/>
      <c r="F20" s="221">
        <v>14466.8</v>
      </c>
    </row>
    <row r="21" spans="1:6" ht="15.75">
      <c r="A21" s="218">
        <v>44172</v>
      </c>
      <c r="B21" s="219"/>
      <c r="C21" s="214" t="s">
        <v>423</v>
      </c>
      <c r="D21" s="220" t="s">
        <v>419</v>
      </c>
      <c r="E21" s="192"/>
      <c r="F21" s="221">
        <v>11564</v>
      </c>
    </row>
    <row r="22" spans="1:6" ht="15.75">
      <c r="A22" s="218">
        <v>44173</v>
      </c>
      <c r="B22" s="219"/>
      <c r="C22" s="214" t="s">
        <v>424</v>
      </c>
      <c r="D22" s="220" t="s">
        <v>419</v>
      </c>
      <c r="E22" s="192"/>
      <c r="F22" s="221">
        <v>11573.44</v>
      </c>
    </row>
    <row r="23" spans="1:6" ht="15.75">
      <c r="A23" s="218">
        <v>44181</v>
      </c>
      <c r="B23" s="219"/>
      <c r="C23" s="214" t="s">
        <v>425</v>
      </c>
      <c r="D23" s="220" t="s">
        <v>419</v>
      </c>
      <c r="E23" s="192"/>
      <c r="F23" s="221">
        <v>14466.8</v>
      </c>
    </row>
    <row r="24" spans="1:6" ht="15.75">
      <c r="A24" s="218">
        <v>44186</v>
      </c>
      <c r="B24" s="219"/>
      <c r="C24" s="214" t="s">
        <v>426</v>
      </c>
      <c r="D24" s="220" t="s">
        <v>419</v>
      </c>
      <c r="E24" s="192"/>
      <c r="F24" s="221">
        <v>14466.8</v>
      </c>
    </row>
    <row r="25" spans="1:6" ht="15.75">
      <c r="A25" s="218">
        <v>44193</v>
      </c>
      <c r="B25" s="219"/>
      <c r="C25" s="214" t="s">
        <v>427</v>
      </c>
      <c r="D25" s="220" t="s">
        <v>419</v>
      </c>
      <c r="E25" s="192"/>
      <c r="F25" s="221">
        <v>11564</v>
      </c>
    </row>
    <row r="26" spans="1:6" ht="15.75">
      <c r="A26" s="212">
        <v>44193</v>
      </c>
      <c r="B26" s="219"/>
      <c r="C26" s="214" t="s">
        <v>428</v>
      </c>
      <c r="D26" s="220" t="s">
        <v>419</v>
      </c>
      <c r="E26" s="192"/>
      <c r="F26" s="221">
        <v>7233.4</v>
      </c>
    </row>
    <row r="27" spans="1:6" ht="15.75">
      <c r="A27" s="212">
        <v>44917</v>
      </c>
      <c r="B27" s="219"/>
      <c r="C27" s="214" t="s">
        <v>429</v>
      </c>
      <c r="D27" s="220" t="s">
        <v>419</v>
      </c>
      <c r="E27" s="192"/>
      <c r="F27" s="221">
        <f>5782-5782</f>
        <v>0</v>
      </c>
    </row>
    <row r="28" spans="1:6" ht="15.75">
      <c r="A28" s="212">
        <v>45539</v>
      </c>
      <c r="B28" s="215"/>
      <c r="C28" s="220" t="s">
        <v>430</v>
      </c>
      <c r="D28" s="220" t="s">
        <v>419</v>
      </c>
      <c r="E28" s="192"/>
      <c r="F28" s="221">
        <f>7285.32-7285.32</f>
        <v>0</v>
      </c>
    </row>
    <row r="29" spans="1:6" ht="15.75">
      <c r="A29" s="218">
        <v>43686</v>
      </c>
      <c r="B29" s="215"/>
      <c r="C29" s="222">
        <v>103</v>
      </c>
      <c r="D29" s="223" t="s">
        <v>431</v>
      </c>
      <c r="E29" s="224"/>
      <c r="F29" s="221">
        <v>25254.36</v>
      </c>
    </row>
    <row r="30" spans="1:6" ht="15.75">
      <c r="A30" s="218">
        <v>43721</v>
      </c>
      <c r="B30" s="215"/>
      <c r="C30" s="222">
        <v>111</v>
      </c>
      <c r="D30" s="223" t="s">
        <v>431</v>
      </c>
      <c r="E30" s="224"/>
      <c r="F30" s="221">
        <v>24885.02</v>
      </c>
    </row>
    <row r="31" spans="1:6" ht="15.75">
      <c r="A31" s="218">
        <v>43804</v>
      </c>
      <c r="B31" s="215"/>
      <c r="C31" s="222">
        <v>130</v>
      </c>
      <c r="D31" s="223" t="s">
        <v>431</v>
      </c>
      <c r="E31" s="224"/>
      <c r="F31" s="221">
        <v>41264.6</v>
      </c>
    </row>
    <row r="32" spans="1:6" ht="15.75">
      <c r="A32" s="218">
        <v>43874</v>
      </c>
      <c r="B32" s="215"/>
      <c r="C32" s="222">
        <v>142</v>
      </c>
      <c r="D32" s="223" t="s">
        <v>431</v>
      </c>
      <c r="E32" s="224"/>
      <c r="F32" s="221">
        <v>43860.6</v>
      </c>
    </row>
    <row r="33" spans="1:6" ht="15.75">
      <c r="A33" s="212">
        <v>42307</v>
      </c>
      <c r="B33" s="219"/>
      <c r="C33" s="225">
        <v>254</v>
      </c>
      <c r="D33" s="214" t="s">
        <v>432</v>
      </c>
      <c r="E33" s="219"/>
      <c r="F33" s="221">
        <v>42240</v>
      </c>
    </row>
    <row r="34" spans="1:6" ht="15.75">
      <c r="A34" s="226">
        <v>42894</v>
      </c>
      <c r="B34" s="219"/>
      <c r="C34" s="214">
        <v>108</v>
      </c>
      <c r="D34" s="214" t="s">
        <v>146</v>
      </c>
      <c r="E34" s="219"/>
      <c r="F34" s="221">
        <v>5200</v>
      </c>
    </row>
    <row r="35" spans="1:6" ht="15.75">
      <c r="A35" s="226">
        <v>42894</v>
      </c>
      <c r="B35" s="219"/>
      <c r="C35" s="214">
        <v>112</v>
      </c>
      <c r="D35" s="214" t="s">
        <v>146</v>
      </c>
      <c r="E35" s="219"/>
      <c r="F35" s="221">
        <v>21680</v>
      </c>
    </row>
    <row r="36" spans="1:6" ht="15.75">
      <c r="A36" s="226">
        <v>42943</v>
      </c>
      <c r="B36" s="219"/>
      <c r="C36" s="214">
        <v>115</v>
      </c>
      <c r="D36" s="214" t="s">
        <v>146</v>
      </c>
      <c r="E36" s="219"/>
      <c r="F36" s="221">
        <v>23400</v>
      </c>
    </row>
    <row r="37" spans="1:6" ht="15.75">
      <c r="A37" s="226">
        <v>42948</v>
      </c>
      <c r="B37" s="219"/>
      <c r="C37" s="214">
        <v>114</v>
      </c>
      <c r="D37" s="214" t="s">
        <v>146</v>
      </c>
      <c r="E37" s="219"/>
      <c r="F37" s="221">
        <v>15600</v>
      </c>
    </row>
    <row r="38" spans="1:6" ht="15.75">
      <c r="A38" s="226">
        <v>43018</v>
      </c>
      <c r="B38" s="219"/>
      <c r="C38" s="214">
        <v>120</v>
      </c>
      <c r="D38" s="214" t="s">
        <v>146</v>
      </c>
      <c r="E38" s="219"/>
      <c r="F38" s="221">
        <v>36816</v>
      </c>
    </row>
    <row r="39" spans="1:6" ht="15.75">
      <c r="A39" s="226">
        <v>43026</v>
      </c>
      <c r="B39" s="219"/>
      <c r="C39" s="214">
        <v>121</v>
      </c>
      <c r="D39" s="214" t="s">
        <v>146</v>
      </c>
      <c r="E39" s="219"/>
      <c r="F39" s="221">
        <v>21090</v>
      </c>
    </row>
    <row r="40" spans="1:6" ht="15.75">
      <c r="A40" s="227">
        <v>42359</v>
      </c>
      <c r="B40" s="224"/>
      <c r="C40" s="228">
        <v>40244</v>
      </c>
      <c r="D40" s="222" t="s">
        <v>433</v>
      </c>
      <c r="E40" s="224"/>
      <c r="F40" s="229">
        <v>61050</v>
      </c>
    </row>
    <row r="41" spans="1:6" ht="15.75">
      <c r="A41" s="227">
        <v>42360</v>
      </c>
      <c r="B41" s="224"/>
      <c r="C41" s="228">
        <v>40248</v>
      </c>
      <c r="D41" s="222" t="s">
        <v>433</v>
      </c>
      <c r="E41" s="224"/>
      <c r="F41" s="229">
        <v>25986.400000000001</v>
      </c>
    </row>
    <row r="42" spans="1:6" ht="15.75">
      <c r="A42" s="212">
        <v>42748</v>
      </c>
      <c r="B42" s="192"/>
      <c r="C42" s="220">
        <v>2765</v>
      </c>
      <c r="D42" s="220" t="s">
        <v>434</v>
      </c>
      <c r="E42" s="192"/>
      <c r="F42" s="230">
        <v>12803</v>
      </c>
    </row>
    <row r="43" spans="1:6" ht="15.75">
      <c r="A43" s="218">
        <v>42818</v>
      </c>
      <c r="B43" s="215"/>
      <c r="C43" s="222">
        <v>2975</v>
      </c>
      <c r="D43" s="220" t="s">
        <v>434</v>
      </c>
      <c r="E43" s="192"/>
      <c r="F43" s="231">
        <v>12803</v>
      </c>
    </row>
    <row r="44" spans="1:6" ht="15.75">
      <c r="A44" s="218">
        <v>42930</v>
      </c>
      <c r="B44" s="215"/>
      <c r="C44" s="222">
        <v>3197</v>
      </c>
      <c r="D44" s="220" t="s">
        <v>434</v>
      </c>
      <c r="E44" s="192"/>
      <c r="F44" s="231">
        <v>12803</v>
      </c>
    </row>
    <row r="45" spans="1:6" ht="15.75">
      <c r="A45" s="218">
        <v>43011</v>
      </c>
      <c r="B45" s="215"/>
      <c r="C45" s="222">
        <v>3768</v>
      </c>
      <c r="D45" s="220" t="s">
        <v>434</v>
      </c>
      <c r="E45" s="192"/>
      <c r="F45" s="231">
        <v>12803</v>
      </c>
    </row>
    <row r="46" spans="1:6" ht="15.75">
      <c r="A46" s="212">
        <v>42947</v>
      </c>
      <c r="B46" s="219"/>
      <c r="C46" s="214">
        <v>9646</v>
      </c>
      <c r="D46" s="214" t="s">
        <v>151</v>
      </c>
      <c r="E46" s="219"/>
      <c r="F46" s="230">
        <v>82142.850000000006</v>
      </c>
    </row>
    <row r="47" spans="1:6" ht="15.75">
      <c r="A47" s="212">
        <v>42964</v>
      </c>
      <c r="B47" s="219"/>
      <c r="C47" s="214">
        <v>9766</v>
      </c>
      <c r="D47" s="214" t="s">
        <v>151</v>
      </c>
      <c r="E47" s="219"/>
      <c r="F47" s="230">
        <v>197757</v>
      </c>
    </row>
    <row r="48" spans="1:6" ht="15.75">
      <c r="A48" s="212">
        <v>42972</v>
      </c>
      <c r="B48" s="219"/>
      <c r="C48" s="214">
        <v>9830</v>
      </c>
      <c r="D48" s="214" t="s">
        <v>151</v>
      </c>
      <c r="E48" s="219"/>
      <c r="F48" s="230">
        <v>56687.4</v>
      </c>
    </row>
    <row r="49" spans="1:6" ht="15.75">
      <c r="A49" s="212">
        <v>42989</v>
      </c>
      <c r="B49" s="219"/>
      <c r="C49" s="214">
        <v>9909</v>
      </c>
      <c r="D49" s="214" t="s">
        <v>151</v>
      </c>
      <c r="E49" s="219"/>
      <c r="F49" s="230">
        <v>175550</v>
      </c>
    </row>
    <row r="50" spans="1:6" ht="15.75">
      <c r="A50" s="212">
        <v>43048</v>
      </c>
      <c r="B50" s="219"/>
      <c r="C50" s="214">
        <v>10276</v>
      </c>
      <c r="D50" s="214" t="s">
        <v>151</v>
      </c>
      <c r="E50" s="219"/>
      <c r="F50" s="230">
        <v>113106</v>
      </c>
    </row>
    <row r="51" spans="1:6" ht="15.75">
      <c r="A51" s="212">
        <v>43099</v>
      </c>
      <c r="B51" s="192"/>
      <c r="C51" s="220">
        <v>239</v>
      </c>
      <c r="D51" s="220" t="s">
        <v>435</v>
      </c>
      <c r="E51" s="215"/>
      <c r="F51" s="221">
        <v>7390</v>
      </c>
    </row>
    <row r="52" spans="1:6" ht="15.75">
      <c r="A52" s="212">
        <v>43131</v>
      </c>
      <c r="B52" s="192"/>
      <c r="C52" s="220">
        <v>240</v>
      </c>
      <c r="D52" s="220" t="s">
        <v>435</v>
      </c>
      <c r="E52" s="215"/>
      <c r="F52" s="221">
        <v>11415</v>
      </c>
    </row>
    <row r="53" spans="1:6" ht="15.75">
      <c r="A53" s="212">
        <v>43160</v>
      </c>
      <c r="B53" s="192"/>
      <c r="C53" s="220">
        <v>245</v>
      </c>
      <c r="D53" s="220" t="s">
        <v>435</v>
      </c>
      <c r="E53" s="215"/>
      <c r="F53" s="221">
        <v>8715</v>
      </c>
    </row>
    <row r="54" spans="1:6" ht="15.75">
      <c r="A54" s="212">
        <v>43201</v>
      </c>
      <c r="B54" s="192"/>
      <c r="C54" s="220">
        <v>250</v>
      </c>
      <c r="D54" s="220" t="s">
        <v>435</v>
      </c>
      <c r="E54" s="215"/>
      <c r="F54" s="221">
        <v>5110</v>
      </c>
    </row>
    <row r="55" spans="1:6" ht="15.75">
      <c r="A55" s="212">
        <v>42922</v>
      </c>
      <c r="B55" s="219"/>
      <c r="C55" s="214">
        <v>59441</v>
      </c>
      <c r="D55" s="214" t="s">
        <v>155</v>
      </c>
      <c r="E55" s="219"/>
      <c r="F55" s="221">
        <v>18230</v>
      </c>
    </row>
    <row r="56" spans="1:6" ht="15.75">
      <c r="A56" s="212">
        <v>42926</v>
      </c>
      <c r="B56" s="219"/>
      <c r="C56" s="214">
        <v>59446</v>
      </c>
      <c r="D56" s="214" t="s">
        <v>155</v>
      </c>
      <c r="E56" s="219"/>
      <c r="F56" s="221">
        <v>23210</v>
      </c>
    </row>
    <row r="57" spans="1:6" ht="15.75">
      <c r="A57" s="212">
        <v>42930</v>
      </c>
      <c r="B57" s="219"/>
      <c r="C57" s="214">
        <v>59454</v>
      </c>
      <c r="D57" s="214" t="s">
        <v>155</v>
      </c>
      <c r="E57" s="219"/>
      <c r="F57" s="221">
        <v>3425</v>
      </c>
    </row>
    <row r="58" spans="1:6" ht="15.75">
      <c r="A58" s="212">
        <v>42935</v>
      </c>
      <c r="B58" s="219"/>
      <c r="C58" s="214">
        <v>59463</v>
      </c>
      <c r="D58" s="214" t="s">
        <v>155</v>
      </c>
      <c r="E58" s="219"/>
      <c r="F58" s="221">
        <v>350</v>
      </c>
    </row>
    <row r="59" spans="1:6" ht="15.75">
      <c r="A59" s="212">
        <v>43563</v>
      </c>
      <c r="B59" s="219"/>
      <c r="C59" s="214">
        <v>1554</v>
      </c>
      <c r="D59" s="214" t="s">
        <v>436</v>
      </c>
      <c r="E59" s="219"/>
      <c r="F59" s="230">
        <v>42267.09</v>
      </c>
    </row>
    <row r="60" spans="1:6" ht="15.75">
      <c r="A60" s="212">
        <v>43649</v>
      </c>
      <c r="B60" s="219"/>
      <c r="C60" s="214">
        <v>433</v>
      </c>
      <c r="D60" s="214" t="s">
        <v>436</v>
      </c>
      <c r="E60" s="219"/>
      <c r="F60" s="230">
        <v>43718.76</v>
      </c>
    </row>
    <row r="61" spans="1:6" ht="15.75">
      <c r="A61" s="212">
        <v>43499</v>
      </c>
      <c r="B61" s="219"/>
      <c r="C61" s="214">
        <v>4833</v>
      </c>
      <c r="D61" s="214" t="s">
        <v>436</v>
      </c>
      <c r="E61" s="219"/>
      <c r="F61" s="230">
        <v>36825.46</v>
      </c>
    </row>
    <row r="62" spans="1:6" ht="15.75">
      <c r="A62" s="212">
        <v>43690</v>
      </c>
      <c r="B62" s="219"/>
      <c r="C62" s="214">
        <v>1159</v>
      </c>
      <c r="D62" s="214" t="s">
        <v>436</v>
      </c>
      <c r="E62" s="219"/>
      <c r="F62" s="230">
        <v>25156.94</v>
      </c>
    </row>
    <row r="63" spans="1:6" ht="15.75">
      <c r="A63" s="226">
        <v>43381</v>
      </c>
      <c r="B63" s="232"/>
      <c r="C63" s="214">
        <v>40682</v>
      </c>
      <c r="D63" s="214" t="s">
        <v>437</v>
      </c>
      <c r="E63" s="233"/>
      <c r="F63" s="230">
        <v>27669</v>
      </c>
    </row>
    <row r="64" spans="1:6" ht="15.75">
      <c r="A64" s="226">
        <v>43395</v>
      </c>
      <c r="B64" s="232"/>
      <c r="C64" s="214">
        <v>41752</v>
      </c>
      <c r="D64" s="214" t="s">
        <v>437</v>
      </c>
      <c r="E64" s="233"/>
      <c r="F64" s="230">
        <v>26834.28</v>
      </c>
    </row>
    <row r="65" spans="1:6" ht="15.75">
      <c r="A65" s="226">
        <v>43441</v>
      </c>
      <c r="B65" s="232"/>
      <c r="C65" s="214">
        <v>42316</v>
      </c>
      <c r="D65" s="214" t="s">
        <v>437</v>
      </c>
      <c r="E65" s="233"/>
      <c r="F65" s="230">
        <v>5380</v>
      </c>
    </row>
    <row r="66" spans="1:6" ht="15.75">
      <c r="A66" s="212">
        <v>43405</v>
      </c>
      <c r="B66" s="219"/>
      <c r="C66" s="214">
        <v>19</v>
      </c>
      <c r="D66" s="214" t="s">
        <v>161</v>
      </c>
      <c r="E66" s="219"/>
      <c r="F66" s="230">
        <v>135016.78</v>
      </c>
    </row>
    <row r="67" spans="1:6" ht="15.75">
      <c r="A67" s="212">
        <v>43213</v>
      </c>
      <c r="B67" s="192"/>
      <c r="C67" s="220">
        <v>97</v>
      </c>
      <c r="D67" s="220" t="s">
        <v>438</v>
      </c>
      <c r="E67" s="192"/>
      <c r="F67" s="221">
        <v>1000</v>
      </c>
    </row>
    <row r="68" spans="1:6" ht="15.75">
      <c r="A68" s="212">
        <v>43227</v>
      </c>
      <c r="B68" s="192"/>
      <c r="C68" s="220">
        <v>17</v>
      </c>
      <c r="D68" s="220" t="s">
        <v>438</v>
      </c>
      <c r="E68" s="192"/>
      <c r="F68" s="221">
        <v>400</v>
      </c>
    </row>
    <row r="69" spans="1:6" ht="15.75">
      <c r="A69" s="212">
        <v>43598</v>
      </c>
      <c r="B69" s="192"/>
      <c r="C69" s="220">
        <v>17</v>
      </c>
      <c r="D69" s="220" t="s">
        <v>165</v>
      </c>
      <c r="E69" s="192"/>
      <c r="F69" s="221">
        <v>44000</v>
      </c>
    </row>
    <row r="70" spans="1:6" ht="15.75">
      <c r="A70" s="212">
        <v>44175</v>
      </c>
      <c r="B70" s="192"/>
      <c r="C70" s="220"/>
      <c r="D70" s="220" t="s">
        <v>439</v>
      </c>
      <c r="E70" s="192"/>
      <c r="F70" s="221">
        <v>22840</v>
      </c>
    </row>
    <row r="71" spans="1:6" ht="15.75">
      <c r="A71" s="212">
        <v>43771</v>
      </c>
      <c r="B71" s="234"/>
      <c r="C71" s="220">
        <v>948909</v>
      </c>
      <c r="D71" s="220" t="s">
        <v>169</v>
      </c>
      <c r="E71" s="192"/>
      <c r="F71" s="221">
        <v>5664</v>
      </c>
    </row>
    <row r="72" spans="1:6" ht="15.75">
      <c r="A72" s="212">
        <v>43769</v>
      </c>
      <c r="B72" s="219"/>
      <c r="C72" s="214" t="s">
        <v>440</v>
      </c>
      <c r="D72" s="214" t="s">
        <v>441</v>
      </c>
      <c r="E72" s="219"/>
      <c r="F72" s="230">
        <v>21697</v>
      </c>
    </row>
    <row r="73" spans="1:6" ht="15.75">
      <c r="A73" s="212">
        <v>43774</v>
      </c>
      <c r="B73" s="219"/>
      <c r="C73" s="214" t="s">
        <v>442</v>
      </c>
      <c r="D73" s="214" t="s">
        <v>441</v>
      </c>
      <c r="E73" s="219"/>
      <c r="F73" s="230">
        <v>19482</v>
      </c>
    </row>
    <row r="74" spans="1:6" ht="15.75">
      <c r="A74" s="212">
        <v>43776</v>
      </c>
      <c r="B74" s="219"/>
      <c r="C74" s="214" t="s">
        <v>443</v>
      </c>
      <c r="D74" s="214" t="s">
        <v>441</v>
      </c>
      <c r="E74" s="219"/>
      <c r="F74" s="230">
        <v>20392</v>
      </c>
    </row>
    <row r="75" spans="1:6" ht="15.75">
      <c r="A75" s="212">
        <v>43780</v>
      </c>
      <c r="B75" s="219"/>
      <c r="C75" s="214" t="s">
        <v>444</v>
      </c>
      <c r="D75" s="214" t="s">
        <v>441</v>
      </c>
      <c r="E75" s="219"/>
      <c r="F75" s="230">
        <v>19787</v>
      </c>
    </row>
    <row r="76" spans="1:6" ht="15.75">
      <c r="A76" s="212">
        <v>43787</v>
      </c>
      <c r="B76" s="219"/>
      <c r="C76" s="214" t="s">
        <v>445</v>
      </c>
      <c r="D76" s="214" t="s">
        <v>441</v>
      </c>
      <c r="E76" s="219"/>
      <c r="F76" s="230">
        <v>20965</v>
      </c>
    </row>
    <row r="77" spans="1:6" ht="15.75">
      <c r="A77" s="212">
        <v>43783</v>
      </c>
      <c r="B77" s="219"/>
      <c r="C77" s="214" t="s">
        <v>446</v>
      </c>
      <c r="D77" s="214" t="s">
        <v>441</v>
      </c>
      <c r="E77" s="219"/>
      <c r="F77" s="230">
        <v>17877</v>
      </c>
    </row>
    <row r="78" spans="1:6" ht="15.75">
      <c r="A78" s="212">
        <v>43008</v>
      </c>
      <c r="B78" s="192"/>
      <c r="C78" s="220">
        <v>429273</v>
      </c>
      <c r="D78" s="220" t="s">
        <v>172</v>
      </c>
      <c r="E78" s="192"/>
      <c r="F78" s="221">
        <v>3530</v>
      </c>
    </row>
    <row r="79" spans="1:6" ht="15.75">
      <c r="A79" s="212">
        <v>42895</v>
      </c>
      <c r="B79" s="192"/>
      <c r="C79" s="220">
        <v>429956</v>
      </c>
      <c r="D79" s="220" t="s">
        <v>172</v>
      </c>
      <c r="E79" s="192"/>
      <c r="F79" s="221">
        <v>4160</v>
      </c>
    </row>
    <row r="80" spans="1:6" ht="15.75">
      <c r="A80" s="212">
        <v>42907</v>
      </c>
      <c r="B80" s="192"/>
      <c r="C80" s="220">
        <v>430962</v>
      </c>
      <c r="D80" s="220" t="s">
        <v>172</v>
      </c>
      <c r="E80" s="192"/>
      <c r="F80" s="221">
        <v>4160</v>
      </c>
    </row>
    <row r="81" spans="1:6" ht="15.75">
      <c r="A81" s="212">
        <v>42915</v>
      </c>
      <c r="B81" s="192"/>
      <c r="C81" s="220">
        <v>431856</v>
      </c>
      <c r="D81" s="220" t="s">
        <v>172</v>
      </c>
      <c r="E81" s="192"/>
      <c r="F81" s="221">
        <v>4160</v>
      </c>
    </row>
    <row r="82" spans="1:6" ht="15.75">
      <c r="A82" s="212">
        <v>42923</v>
      </c>
      <c r="B82" s="192"/>
      <c r="C82" s="220">
        <v>432684</v>
      </c>
      <c r="D82" s="220" t="s">
        <v>172</v>
      </c>
      <c r="E82" s="192"/>
      <c r="F82" s="221">
        <v>4160</v>
      </c>
    </row>
    <row r="83" spans="1:6" ht="15.75">
      <c r="A83" s="212">
        <v>42930</v>
      </c>
      <c r="B83" s="192"/>
      <c r="C83" s="220">
        <v>433587</v>
      </c>
      <c r="D83" s="220" t="s">
        <v>172</v>
      </c>
      <c r="E83" s="192"/>
      <c r="F83" s="221">
        <v>4160</v>
      </c>
    </row>
    <row r="84" spans="1:6" ht="15.75">
      <c r="A84" s="212">
        <v>42940</v>
      </c>
      <c r="B84" s="192"/>
      <c r="C84" s="220">
        <v>434613</v>
      </c>
      <c r="D84" s="220" t="s">
        <v>172</v>
      </c>
      <c r="E84" s="192"/>
      <c r="F84" s="221">
        <v>4160</v>
      </c>
    </row>
    <row r="85" spans="1:6" ht="15.75">
      <c r="A85" s="212">
        <v>42948</v>
      </c>
      <c r="B85" s="192"/>
      <c r="C85" s="220">
        <v>435571</v>
      </c>
      <c r="D85" s="220" t="s">
        <v>172</v>
      </c>
      <c r="E85" s="192"/>
      <c r="F85" s="221">
        <v>4160</v>
      </c>
    </row>
    <row r="86" spans="1:6" ht="15.75">
      <c r="A86" s="212">
        <v>42956</v>
      </c>
      <c r="B86" s="192"/>
      <c r="C86" s="220">
        <v>436602</v>
      </c>
      <c r="D86" s="220" t="s">
        <v>172</v>
      </c>
      <c r="E86" s="192"/>
      <c r="F86" s="221">
        <v>4160</v>
      </c>
    </row>
    <row r="87" spans="1:6" ht="15.75">
      <c r="A87" s="212">
        <v>42964</v>
      </c>
      <c r="B87" s="192"/>
      <c r="C87" s="220">
        <v>437615</v>
      </c>
      <c r="D87" s="220" t="s">
        <v>172</v>
      </c>
      <c r="E87" s="192"/>
      <c r="F87" s="221">
        <v>4160</v>
      </c>
    </row>
    <row r="88" spans="1:6" ht="15.75">
      <c r="A88" s="212">
        <v>42972</v>
      </c>
      <c r="B88" s="192"/>
      <c r="C88" s="220">
        <v>438668</v>
      </c>
      <c r="D88" s="220" t="s">
        <v>172</v>
      </c>
      <c r="E88" s="192"/>
      <c r="F88" s="221">
        <v>4160</v>
      </c>
    </row>
    <row r="89" spans="1:6" ht="15.75">
      <c r="A89" s="212">
        <v>42979</v>
      </c>
      <c r="B89" s="192"/>
      <c r="C89" s="220">
        <v>439506</v>
      </c>
      <c r="D89" s="220" t="s">
        <v>172</v>
      </c>
      <c r="E89" s="192"/>
      <c r="F89" s="221">
        <v>4160</v>
      </c>
    </row>
    <row r="90" spans="1:6" ht="15.75">
      <c r="A90" s="212">
        <v>43078</v>
      </c>
      <c r="B90" s="192"/>
      <c r="C90" s="220">
        <v>415365</v>
      </c>
      <c r="D90" s="220" t="s">
        <v>172</v>
      </c>
      <c r="E90" s="192"/>
      <c r="F90" s="221">
        <v>4160</v>
      </c>
    </row>
    <row r="91" spans="1:6" ht="15.75">
      <c r="A91" s="212">
        <v>43560</v>
      </c>
      <c r="B91" s="192"/>
      <c r="C91" s="220">
        <v>514817</v>
      </c>
      <c r="D91" s="220" t="s">
        <v>172</v>
      </c>
      <c r="E91" s="192"/>
      <c r="F91" s="221">
        <v>2080</v>
      </c>
    </row>
    <row r="92" spans="1:6" ht="15.75">
      <c r="A92" s="226">
        <v>44691</v>
      </c>
      <c r="B92" s="219"/>
      <c r="C92" s="214" t="s">
        <v>447</v>
      </c>
      <c r="D92" s="214" t="s">
        <v>448</v>
      </c>
      <c r="E92" s="219"/>
      <c r="F92" s="216">
        <v>16660.72</v>
      </c>
    </row>
    <row r="93" spans="1:6" ht="15.75">
      <c r="A93" s="226">
        <v>44698</v>
      </c>
      <c r="B93" s="219"/>
      <c r="C93" s="214" t="s">
        <v>449</v>
      </c>
      <c r="D93" s="214" t="s">
        <v>448</v>
      </c>
      <c r="E93" s="219"/>
      <c r="F93" s="216">
        <v>33321.440000000002</v>
      </c>
    </row>
    <row r="94" spans="1:6" ht="15.75">
      <c r="A94" s="218">
        <v>45535</v>
      </c>
      <c r="B94" s="215"/>
      <c r="C94" s="222" t="s">
        <v>450</v>
      </c>
      <c r="D94" s="214" t="s">
        <v>448</v>
      </c>
      <c r="E94" s="219"/>
      <c r="F94" s="231">
        <v>19588.27</v>
      </c>
    </row>
    <row r="95" spans="1:6" ht="15.75">
      <c r="A95" s="226">
        <v>44875</v>
      </c>
      <c r="B95" s="219"/>
      <c r="C95" s="214" t="s">
        <v>451</v>
      </c>
      <c r="D95" s="214" t="s">
        <v>448</v>
      </c>
      <c r="E95" s="219"/>
      <c r="F95" s="230">
        <v>41058.269999999997</v>
      </c>
    </row>
    <row r="96" spans="1:6" ht="15.75">
      <c r="A96" s="212">
        <v>44930</v>
      </c>
      <c r="B96" s="192"/>
      <c r="C96" s="220" t="s">
        <v>452</v>
      </c>
      <c r="D96" s="220" t="s">
        <v>448</v>
      </c>
      <c r="E96" s="192"/>
      <c r="F96" s="235">
        <f>20529.13-20529.13</f>
        <v>0</v>
      </c>
    </row>
    <row r="97" spans="1:6" ht="15.75">
      <c r="A97" s="212">
        <v>45295</v>
      </c>
      <c r="B97" s="192"/>
      <c r="C97" s="220" t="s">
        <v>453</v>
      </c>
      <c r="D97" s="214" t="s">
        <v>448</v>
      </c>
      <c r="E97" s="219"/>
      <c r="F97" s="230">
        <f>20529.13-20529.13</f>
        <v>0</v>
      </c>
    </row>
    <row r="98" spans="1:6" ht="15.75">
      <c r="A98" s="212">
        <v>44930</v>
      </c>
      <c r="B98" s="192"/>
      <c r="C98" s="220" t="s">
        <v>454</v>
      </c>
      <c r="D98" s="214" t="s">
        <v>448</v>
      </c>
      <c r="E98" s="219"/>
      <c r="F98" s="230">
        <v>20529.13</v>
      </c>
    </row>
    <row r="99" spans="1:6" ht="15.75">
      <c r="A99" s="212">
        <v>45295</v>
      </c>
      <c r="B99" s="192"/>
      <c r="C99" s="220" t="s">
        <v>455</v>
      </c>
      <c r="D99" s="214" t="s">
        <v>448</v>
      </c>
      <c r="E99" s="219"/>
      <c r="F99" s="230">
        <v>20529.13</v>
      </c>
    </row>
    <row r="100" spans="1:6" ht="15.75">
      <c r="A100" s="212">
        <v>45297</v>
      </c>
      <c r="B100" s="192"/>
      <c r="C100" s="220" t="s">
        <v>456</v>
      </c>
      <c r="D100" s="214" t="s">
        <v>448</v>
      </c>
      <c r="E100" s="219"/>
      <c r="F100" s="230">
        <v>20529.13</v>
      </c>
    </row>
    <row r="101" spans="1:6" ht="15.75">
      <c r="A101" s="212">
        <v>44964</v>
      </c>
      <c r="B101" s="192"/>
      <c r="C101" s="220" t="s">
        <v>457</v>
      </c>
      <c r="D101" s="214" t="s">
        <v>448</v>
      </c>
      <c r="E101" s="219"/>
      <c r="F101" s="230">
        <f>20529.13-20529.13</f>
        <v>0</v>
      </c>
    </row>
    <row r="102" spans="1:6" ht="15.75">
      <c r="A102" s="212">
        <v>44967</v>
      </c>
      <c r="B102" s="192"/>
      <c r="C102" s="220" t="s">
        <v>458</v>
      </c>
      <c r="D102" s="214" t="s">
        <v>448</v>
      </c>
      <c r="E102" s="219"/>
      <c r="F102" s="230">
        <f>22638.26-22638.26</f>
        <v>0</v>
      </c>
    </row>
    <row r="103" spans="1:6" ht="15.75">
      <c r="A103" s="218">
        <v>44973</v>
      </c>
      <c r="B103" s="215"/>
      <c r="C103" s="220" t="s">
        <v>459</v>
      </c>
      <c r="D103" s="220" t="s">
        <v>448</v>
      </c>
      <c r="E103" s="192"/>
      <c r="F103" s="230">
        <v>41058.269999999997</v>
      </c>
    </row>
    <row r="104" spans="1:6" ht="15.75">
      <c r="A104" s="218">
        <v>45014</v>
      </c>
      <c r="B104" s="215"/>
      <c r="C104" s="220" t="s">
        <v>460</v>
      </c>
      <c r="D104" s="220" t="s">
        <v>448</v>
      </c>
      <c r="E104" s="192"/>
      <c r="F104" s="230">
        <f>41058.27-41058.27</f>
        <v>0</v>
      </c>
    </row>
    <row r="105" spans="1:6" ht="15.75">
      <c r="A105" s="218">
        <v>45044</v>
      </c>
      <c r="B105" s="215"/>
      <c r="C105" s="222" t="s">
        <v>461</v>
      </c>
      <c r="D105" s="214" t="s">
        <v>448</v>
      </c>
      <c r="E105" s="219"/>
      <c r="F105" s="231">
        <f>41058.27-41058.27</f>
        <v>0</v>
      </c>
    </row>
    <row r="106" spans="1:6" ht="15.75">
      <c r="A106" s="218">
        <v>45051</v>
      </c>
      <c r="B106" s="215"/>
      <c r="C106" s="222" t="s">
        <v>462</v>
      </c>
      <c r="D106" s="214" t="s">
        <v>448</v>
      </c>
      <c r="E106" s="219"/>
      <c r="F106" s="231">
        <f>20529.13-20529.13</f>
        <v>0</v>
      </c>
    </row>
    <row r="107" spans="1:6" ht="15.75">
      <c r="A107" s="218">
        <v>45794</v>
      </c>
      <c r="B107" s="215"/>
      <c r="C107" s="222" t="s">
        <v>463</v>
      </c>
      <c r="D107" s="214" t="s">
        <v>448</v>
      </c>
      <c r="E107" s="219"/>
      <c r="F107" s="231">
        <f>41058.27-41058.27</f>
        <v>0</v>
      </c>
    </row>
    <row r="108" spans="1:6" ht="15.75">
      <c r="A108" s="218">
        <v>45100</v>
      </c>
      <c r="B108" s="215"/>
      <c r="C108" s="222" t="s">
        <v>464</v>
      </c>
      <c r="D108" s="214" t="s">
        <v>448</v>
      </c>
      <c r="E108" s="219"/>
      <c r="F108" s="231">
        <v>20529.13</v>
      </c>
    </row>
    <row r="109" spans="1:6" ht="15.75">
      <c r="A109" s="218">
        <v>45485</v>
      </c>
      <c r="B109" s="215"/>
      <c r="C109" s="222" t="s">
        <v>465</v>
      </c>
      <c r="D109" s="214" t="s">
        <v>448</v>
      </c>
      <c r="E109" s="219"/>
      <c r="F109" s="231">
        <f>22638.26-22638.26</f>
        <v>0</v>
      </c>
    </row>
    <row r="110" spans="1:6" ht="15.75">
      <c r="A110" s="218">
        <v>45187</v>
      </c>
      <c r="B110" s="215"/>
      <c r="C110" s="222" t="s">
        <v>466</v>
      </c>
      <c r="D110" s="214" t="s">
        <v>448</v>
      </c>
      <c r="E110" s="219"/>
      <c r="F110" s="231">
        <v>45276.54</v>
      </c>
    </row>
    <row r="111" spans="1:6" ht="15.75">
      <c r="A111" s="218">
        <v>45187</v>
      </c>
      <c r="B111" s="215"/>
      <c r="C111" s="222" t="s">
        <v>467</v>
      </c>
      <c r="D111" s="214" t="s">
        <v>448</v>
      </c>
      <c r="E111" s="219"/>
      <c r="F111" s="231">
        <v>41058.269999999997</v>
      </c>
    </row>
    <row r="112" spans="1:6" ht="15.75">
      <c r="A112" s="218">
        <v>45231</v>
      </c>
      <c r="B112" s="215"/>
      <c r="C112" s="222" t="s">
        <v>468</v>
      </c>
      <c r="D112" s="214" t="s">
        <v>448</v>
      </c>
      <c r="E112" s="219"/>
      <c r="F112" s="231">
        <f>82301.56-82301.56</f>
        <v>0</v>
      </c>
    </row>
    <row r="113" spans="1:6" ht="15.75">
      <c r="A113" s="218">
        <v>45244</v>
      </c>
      <c r="B113" s="215"/>
      <c r="C113" s="222" t="s">
        <v>469</v>
      </c>
      <c r="D113" s="214" t="s">
        <v>448</v>
      </c>
      <c r="E113" s="219"/>
      <c r="F113" s="231">
        <f>83419.4-83419.4</f>
        <v>0</v>
      </c>
    </row>
    <row r="114" spans="1:6" ht="15.75">
      <c r="A114" s="218">
        <v>45244</v>
      </c>
      <c r="B114" s="215"/>
      <c r="C114" s="222" t="s">
        <v>470</v>
      </c>
      <c r="D114" s="214" t="s">
        <v>448</v>
      </c>
      <c r="E114" s="219"/>
      <c r="F114" s="231">
        <f>41150.78-41150.78</f>
        <v>0</v>
      </c>
    </row>
    <row r="115" spans="1:6" ht="15.75">
      <c r="A115" s="218">
        <v>45244</v>
      </c>
      <c r="B115" s="215"/>
      <c r="C115" s="222" t="s">
        <v>471</v>
      </c>
      <c r="D115" s="214" t="s">
        <v>448</v>
      </c>
      <c r="E115" s="219"/>
      <c r="F115" s="231">
        <f>79627.11-79627.11</f>
        <v>0</v>
      </c>
    </row>
    <row r="116" spans="1:6" ht="15.75">
      <c r="A116" s="218">
        <v>45259</v>
      </c>
      <c r="B116" s="215"/>
      <c r="C116" s="222" t="s">
        <v>472</v>
      </c>
      <c r="D116" s="214" t="s">
        <v>448</v>
      </c>
      <c r="E116" s="219"/>
      <c r="F116" s="231">
        <v>61726.17</v>
      </c>
    </row>
    <row r="117" spans="1:6" ht="15.75">
      <c r="A117" s="218">
        <v>45259</v>
      </c>
      <c r="B117" s="215"/>
      <c r="C117" s="222" t="s">
        <v>473</v>
      </c>
      <c r="D117" s="214" t="s">
        <v>448</v>
      </c>
      <c r="E117" s="219"/>
      <c r="F117" s="231">
        <f>41150.78-41150.78</f>
        <v>0</v>
      </c>
    </row>
    <row r="118" spans="1:6" ht="15.75">
      <c r="A118" s="218">
        <v>45652</v>
      </c>
      <c r="B118" s="215"/>
      <c r="C118" s="222" t="s">
        <v>474</v>
      </c>
      <c r="D118" s="214" t="s">
        <v>448</v>
      </c>
      <c r="E118" s="219"/>
      <c r="F118" s="231">
        <f>61726.17-61726.17</f>
        <v>0</v>
      </c>
    </row>
    <row r="119" spans="1:6" ht="15.75">
      <c r="A119" s="218">
        <v>45329</v>
      </c>
      <c r="B119" s="215"/>
      <c r="C119" s="222" t="s">
        <v>475</v>
      </c>
      <c r="D119" s="214" t="s">
        <v>448</v>
      </c>
      <c r="E119" s="219"/>
      <c r="F119" s="231">
        <v>42268.62</v>
      </c>
    </row>
    <row r="120" spans="1:6" ht="15.75">
      <c r="A120" s="218">
        <v>45378</v>
      </c>
      <c r="B120" s="215"/>
      <c r="C120" s="222" t="s">
        <v>476</v>
      </c>
      <c r="D120" s="214" t="s">
        <v>448</v>
      </c>
      <c r="E120" s="219"/>
      <c r="F120" s="231">
        <v>44504.29</v>
      </c>
    </row>
    <row r="121" spans="1:6" ht="15.75">
      <c r="A121" s="218">
        <v>45420</v>
      </c>
      <c r="B121" s="215"/>
      <c r="C121" s="222" t="s">
        <v>477</v>
      </c>
      <c r="D121" s="214" t="s">
        <v>448</v>
      </c>
      <c r="E121" s="219"/>
      <c r="F121" s="231">
        <v>61726.17</v>
      </c>
    </row>
    <row r="122" spans="1:6" ht="15.75">
      <c r="A122" s="218">
        <v>45440</v>
      </c>
      <c r="B122" s="215"/>
      <c r="C122" s="222" t="s">
        <v>478</v>
      </c>
      <c r="D122" s="214" t="s">
        <v>448</v>
      </c>
      <c r="E122" s="219"/>
      <c r="F122" s="231">
        <v>84537.23</v>
      </c>
    </row>
    <row r="123" spans="1:6" ht="15.75">
      <c r="A123" s="218">
        <v>45434</v>
      </c>
      <c r="B123" s="215"/>
      <c r="C123" s="222" t="s">
        <v>479</v>
      </c>
      <c r="D123" s="214" t="s">
        <v>448</v>
      </c>
      <c r="E123" s="219"/>
      <c r="F123" s="231">
        <v>83419.399999999994</v>
      </c>
    </row>
    <row r="124" spans="1:6" ht="15.75">
      <c r="A124" s="218">
        <v>45443</v>
      </c>
      <c r="B124" s="215"/>
      <c r="C124" s="222" t="s">
        <v>480</v>
      </c>
      <c r="D124" s="214" t="s">
        <v>448</v>
      </c>
      <c r="E124" s="219"/>
      <c r="F124" s="231">
        <v>41150.78</v>
      </c>
    </row>
    <row r="125" spans="1:6" ht="15.75">
      <c r="A125" s="218">
        <v>45464</v>
      </c>
      <c r="B125" s="215"/>
      <c r="C125" s="222" t="s">
        <v>481</v>
      </c>
      <c r="D125" s="214" t="s">
        <v>448</v>
      </c>
      <c r="E125" s="219"/>
      <c r="F125" s="231">
        <v>61726.17</v>
      </c>
    </row>
    <row r="126" spans="1:6" ht="15.75">
      <c r="A126" s="218">
        <v>45468</v>
      </c>
      <c r="B126" s="215"/>
      <c r="C126" s="222" t="s">
        <v>482</v>
      </c>
      <c r="D126" s="214" t="s">
        <v>448</v>
      </c>
      <c r="E126" s="219"/>
      <c r="F126" s="231">
        <v>82301.56</v>
      </c>
    </row>
    <row r="127" spans="1:6" ht="15.75">
      <c r="A127" s="218">
        <v>45483</v>
      </c>
      <c r="B127" s="215"/>
      <c r="C127" s="222" t="s">
        <v>483</v>
      </c>
      <c r="D127" s="214" t="s">
        <v>448</v>
      </c>
      <c r="E127" s="219"/>
      <c r="F127" s="231">
        <v>89899.58</v>
      </c>
    </row>
    <row r="128" spans="1:6" ht="15.75">
      <c r="A128" s="218">
        <v>45483</v>
      </c>
      <c r="B128" s="215"/>
      <c r="C128" s="222" t="s">
        <v>484</v>
      </c>
      <c r="D128" s="214" t="s">
        <v>448</v>
      </c>
      <c r="E128" s="219"/>
      <c r="F128" s="231">
        <v>41150.78</v>
      </c>
    </row>
    <row r="129" spans="1:6" ht="15.75">
      <c r="A129" s="218">
        <v>45485</v>
      </c>
      <c r="B129" s="215"/>
      <c r="C129" s="222" t="s">
        <v>485</v>
      </c>
      <c r="D129" s="214" t="s">
        <v>448</v>
      </c>
      <c r="E129" s="219"/>
      <c r="F129" s="231">
        <v>82301.58</v>
      </c>
    </row>
    <row r="130" spans="1:6" ht="15.75">
      <c r="A130" s="218">
        <v>45504</v>
      </c>
      <c r="B130" s="215"/>
      <c r="C130" s="222" t="s">
        <v>486</v>
      </c>
      <c r="D130" s="214" t="s">
        <v>448</v>
      </c>
      <c r="E130" s="219"/>
      <c r="F130" s="231">
        <v>61726.17</v>
      </c>
    </row>
    <row r="131" spans="1:6" ht="15.75">
      <c r="A131" s="218">
        <v>45504</v>
      </c>
      <c r="B131" s="215"/>
      <c r="C131" s="222" t="s">
        <v>487</v>
      </c>
      <c r="D131" s="214" t="s">
        <v>448</v>
      </c>
      <c r="E131" s="219"/>
      <c r="F131" s="231">
        <v>41150.78</v>
      </c>
    </row>
    <row r="132" spans="1:6" ht="15.75">
      <c r="A132" s="218">
        <v>45519</v>
      </c>
      <c r="B132" s="215"/>
      <c r="C132" s="222" t="s">
        <v>488</v>
      </c>
      <c r="D132" s="214" t="s">
        <v>448</v>
      </c>
      <c r="E132" s="219"/>
      <c r="F132" s="231">
        <v>41150.78</v>
      </c>
    </row>
    <row r="133" spans="1:6" ht="15.75">
      <c r="A133" s="218">
        <v>45541</v>
      </c>
      <c r="B133" s="215"/>
      <c r="C133" s="222" t="s">
        <v>489</v>
      </c>
      <c r="D133" s="214" t="s">
        <v>448</v>
      </c>
      <c r="E133" s="219"/>
      <c r="F133" s="231">
        <f>42268.62-42268.62</f>
        <v>0</v>
      </c>
    </row>
    <row r="134" spans="1:6" ht="15.75">
      <c r="A134" s="218">
        <v>45561</v>
      </c>
      <c r="B134" s="215"/>
      <c r="C134" s="222" t="s">
        <v>490</v>
      </c>
      <c r="D134" s="214" t="s">
        <v>448</v>
      </c>
      <c r="E134" s="219"/>
      <c r="F134" s="231">
        <f>84537.23-84537.23</f>
        <v>0</v>
      </c>
    </row>
    <row r="135" spans="1:6" ht="15.75">
      <c r="A135" s="218">
        <v>45547</v>
      </c>
      <c r="B135" s="215"/>
      <c r="C135" s="222" t="s">
        <v>491</v>
      </c>
      <c r="D135" s="214" t="s">
        <v>448</v>
      </c>
      <c r="E135" s="219"/>
      <c r="F135" s="231">
        <f>43386.45-43386.45</f>
        <v>0</v>
      </c>
    </row>
    <row r="136" spans="1:6" ht="15.75">
      <c r="A136" s="218">
        <v>45573</v>
      </c>
      <c r="B136" s="215"/>
      <c r="C136" s="222" t="s">
        <v>492</v>
      </c>
      <c r="D136" s="214" t="s">
        <v>448</v>
      </c>
      <c r="E136" s="219"/>
      <c r="F136" s="231">
        <f>65552.3-65552.3</f>
        <v>0</v>
      </c>
    </row>
    <row r="137" spans="1:6" ht="15.75">
      <c r="A137" s="218">
        <v>45576</v>
      </c>
      <c r="B137" s="215"/>
      <c r="C137" s="222" t="s">
        <v>493</v>
      </c>
      <c r="D137" s="214" t="s">
        <v>448</v>
      </c>
      <c r="E137" s="219"/>
      <c r="F137" s="231">
        <v>102876.95</v>
      </c>
    </row>
    <row r="138" spans="1:6" ht="15.75">
      <c r="A138" s="218">
        <v>45576</v>
      </c>
      <c r="B138" s="215"/>
      <c r="C138" s="222" t="s">
        <v>494</v>
      </c>
      <c r="D138" s="214" t="s">
        <v>448</v>
      </c>
      <c r="E138" s="219"/>
      <c r="F138" s="231">
        <f>87403.08-87403.08</f>
        <v>0</v>
      </c>
    </row>
    <row r="139" spans="1:6" ht="15.75">
      <c r="A139" s="218">
        <v>45576</v>
      </c>
      <c r="B139" s="215"/>
      <c r="C139" s="222" t="s">
        <v>495</v>
      </c>
      <c r="D139" s="214" t="s">
        <v>448</v>
      </c>
      <c r="E139" s="219"/>
      <c r="F139" s="231">
        <f>65552.3-65552.3</f>
        <v>0</v>
      </c>
    </row>
    <row r="140" spans="1:6" ht="15.75">
      <c r="A140" s="218">
        <v>45587</v>
      </c>
      <c r="B140" s="215"/>
      <c r="C140" s="222" t="s">
        <v>496</v>
      </c>
      <c r="D140" s="214" t="s">
        <v>448</v>
      </c>
      <c r="E140" s="219"/>
      <c r="F140" s="231">
        <v>65552.3</v>
      </c>
    </row>
    <row r="141" spans="1:6" ht="15.75">
      <c r="A141" s="218">
        <v>45958</v>
      </c>
      <c r="B141" s="215"/>
      <c r="C141" s="222" t="s">
        <v>497</v>
      </c>
      <c r="D141" s="214" t="s">
        <v>448</v>
      </c>
      <c r="E141" s="219"/>
      <c r="F141" s="231">
        <f>65552.3-65552.3</f>
        <v>0</v>
      </c>
    </row>
    <row r="142" spans="1:6" ht="15.75">
      <c r="A142" s="218">
        <v>45587</v>
      </c>
      <c r="B142" s="215"/>
      <c r="C142" s="222" t="s">
        <v>498</v>
      </c>
      <c r="D142" s="214" t="s">
        <v>448</v>
      </c>
      <c r="E142" s="219"/>
      <c r="F142" s="231">
        <f>43701.53-43701.53</f>
        <v>0</v>
      </c>
    </row>
    <row r="143" spans="1:6" ht="15.75">
      <c r="A143" s="218">
        <v>45617</v>
      </c>
      <c r="B143" s="215"/>
      <c r="C143" s="222" t="s">
        <v>499</v>
      </c>
      <c r="D143" s="214" t="s">
        <v>448</v>
      </c>
      <c r="E143" s="219"/>
      <c r="F143" s="231">
        <v>115275.32</v>
      </c>
    </row>
    <row r="144" spans="1:6" ht="15.75">
      <c r="A144" s="218">
        <v>45617</v>
      </c>
      <c r="B144" s="215"/>
      <c r="C144" s="222" t="s">
        <v>500</v>
      </c>
      <c r="D144" s="214" t="s">
        <v>448</v>
      </c>
      <c r="E144" s="219"/>
      <c r="F144" s="231">
        <v>87403.07</v>
      </c>
    </row>
    <row r="145" spans="1:6" ht="15.75">
      <c r="A145" s="218">
        <v>45818</v>
      </c>
      <c r="B145" s="215"/>
      <c r="C145" s="222" t="s">
        <v>501</v>
      </c>
      <c r="D145" s="214" t="s">
        <v>448</v>
      </c>
      <c r="E145" s="219"/>
      <c r="F145" s="231">
        <f>24991.1-24991.1</f>
        <v>0</v>
      </c>
    </row>
    <row r="146" spans="1:6" ht="15.75">
      <c r="A146" s="218">
        <v>45826</v>
      </c>
      <c r="B146" s="215"/>
      <c r="C146" s="222" t="s">
        <v>502</v>
      </c>
      <c r="D146" s="214" t="s">
        <v>448</v>
      </c>
      <c r="E146" s="219"/>
      <c r="F146" s="231">
        <f>21850.77-21850.77</f>
        <v>0</v>
      </c>
    </row>
    <row r="147" spans="1:6" ht="15.75">
      <c r="A147" s="218">
        <v>45835</v>
      </c>
      <c r="B147" s="215"/>
      <c r="C147" s="222" t="s">
        <v>503</v>
      </c>
      <c r="D147" s="214" t="s">
        <v>448</v>
      </c>
      <c r="E147" s="219"/>
      <c r="F147" s="231">
        <f>21850.77-21850.77</f>
        <v>0</v>
      </c>
    </row>
    <row r="148" spans="1:6" ht="15.75">
      <c r="A148" s="218">
        <v>45842</v>
      </c>
      <c r="B148" s="215"/>
      <c r="C148" s="222" t="s">
        <v>504</v>
      </c>
      <c r="D148" s="214" t="s">
        <v>448</v>
      </c>
      <c r="E148" s="219"/>
      <c r="F148" s="231">
        <f>25463.65-25463.65</f>
        <v>0</v>
      </c>
    </row>
    <row r="149" spans="1:6" ht="15.75">
      <c r="A149" s="218">
        <v>45848</v>
      </c>
      <c r="B149" s="215"/>
      <c r="C149" s="222" t="s">
        <v>505</v>
      </c>
      <c r="D149" s="214" t="s">
        <v>448</v>
      </c>
      <c r="E149" s="219"/>
      <c r="F149" s="231">
        <f>21850.77-21850.77</f>
        <v>0</v>
      </c>
    </row>
    <row r="150" spans="1:6" ht="15.75">
      <c r="A150" s="218">
        <v>45863</v>
      </c>
      <c r="B150" s="215"/>
      <c r="C150" s="222" t="s">
        <v>506</v>
      </c>
      <c r="D150" s="214" t="s">
        <v>448</v>
      </c>
      <c r="E150" s="219"/>
      <c r="F150" s="231">
        <f>23055.07-23055.07</f>
        <v>0</v>
      </c>
    </row>
    <row r="151" spans="1:6" ht="15.75">
      <c r="A151" s="218">
        <v>45878</v>
      </c>
      <c r="B151" s="215"/>
      <c r="C151" s="222" t="s">
        <v>507</v>
      </c>
      <c r="D151" s="214" t="s">
        <v>448</v>
      </c>
      <c r="E151" s="219"/>
      <c r="F151" s="231">
        <v>21850.77</v>
      </c>
    </row>
    <row r="152" spans="1:6" ht="15.75">
      <c r="A152" s="218">
        <v>45889</v>
      </c>
      <c r="B152" s="215"/>
      <c r="C152" s="222" t="s">
        <v>508</v>
      </c>
      <c r="D152" s="214" t="s">
        <v>448</v>
      </c>
      <c r="E152" s="219"/>
      <c r="F152" s="231">
        <f>21850.77-21850.77</f>
        <v>0</v>
      </c>
    </row>
    <row r="153" spans="1:6" ht="15.75">
      <c r="A153" s="218">
        <v>45898</v>
      </c>
      <c r="B153" s="215"/>
      <c r="C153" s="222" t="s">
        <v>509</v>
      </c>
      <c r="D153" s="214" t="s">
        <v>448</v>
      </c>
      <c r="E153" s="219"/>
      <c r="F153" s="231">
        <v>21850.77</v>
      </c>
    </row>
    <row r="154" spans="1:6" ht="15.75">
      <c r="A154" s="218">
        <v>45903</v>
      </c>
      <c r="B154" s="215"/>
      <c r="C154" s="222" t="s">
        <v>510</v>
      </c>
      <c r="D154" s="214" t="s">
        <v>448</v>
      </c>
      <c r="E154" s="219"/>
      <c r="F154" s="231">
        <v>21850.77</v>
      </c>
    </row>
    <row r="155" spans="1:6" ht="15.75">
      <c r="A155" s="218">
        <v>45909</v>
      </c>
      <c r="B155" s="215"/>
      <c r="C155" s="222" t="s">
        <v>511</v>
      </c>
      <c r="D155" s="214" t="s">
        <v>448</v>
      </c>
      <c r="E155" s="219"/>
      <c r="F155" s="231">
        <v>24259.37</v>
      </c>
    </row>
    <row r="156" spans="1:6" ht="15.75">
      <c r="A156" s="218">
        <v>45925</v>
      </c>
      <c r="B156" s="215"/>
      <c r="C156" s="222" t="s">
        <v>512</v>
      </c>
      <c r="D156" s="214" t="s">
        <v>448</v>
      </c>
      <c r="E156" s="219"/>
      <c r="F156" s="231">
        <v>6206.42</v>
      </c>
    </row>
    <row r="157" spans="1:6" ht="15.75">
      <c r="A157" s="218">
        <v>45926</v>
      </c>
      <c r="B157" s="215"/>
      <c r="C157" s="222" t="s">
        <v>513</v>
      </c>
      <c r="D157" s="214" t="s">
        <v>448</v>
      </c>
      <c r="E157" s="219"/>
      <c r="F157" s="231">
        <v>26667.95</v>
      </c>
    </row>
    <row r="158" spans="1:6" ht="15.75">
      <c r="A158" s="218">
        <v>45930</v>
      </c>
      <c r="B158" s="215"/>
      <c r="C158" s="222" t="s">
        <v>514</v>
      </c>
      <c r="D158" s="214" t="s">
        <v>448</v>
      </c>
      <c r="E158" s="219"/>
      <c r="F158" s="231">
        <v>23055.07</v>
      </c>
    </row>
    <row r="159" spans="1:6" ht="15.75">
      <c r="A159" s="218">
        <v>45952</v>
      </c>
      <c r="B159" s="215"/>
      <c r="C159" s="222" t="s">
        <v>515</v>
      </c>
      <c r="D159" s="214" t="s">
        <v>448</v>
      </c>
      <c r="E159" s="219"/>
      <c r="F159" s="231">
        <v>23055.07</v>
      </c>
    </row>
    <row r="160" spans="1:6" ht="15.75">
      <c r="A160" s="218">
        <v>45939</v>
      </c>
      <c r="B160" s="215"/>
      <c r="C160" s="222" t="s">
        <v>516</v>
      </c>
      <c r="D160" s="214" t="s">
        <v>448</v>
      </c>
      <c r="E160" s="219"/>
      <c r="F160" s="231">
        <v>21850.77</v>
      </c>
    </row>
    <row r="161" spans="1:6" ht="15.75">
      <c r="A161" s="218">
        <v>45947</v>
      </c>
      <c r="B161" s="215"/>
      <c r="C161" s="222" t="s">
        <v>517</v>
      </c>
      <c r="D161" s="214" t="s">
        <v>448</v>
      </c>
      <c r="E161" s="219"/>
      <c r="F161" s="231">
        <v>24259.37</v>
      </c>
    </row>
    <row r="162" spans="1:6" ht="15.75">
      <c r="A162" s="212">
        <v>45896</v>
      </c>
      <c r="B162" s="192"/>
      <c r="C162" s="220" t="s">
        <v>518</v>
      </c>
      <c r="D162" s="214" t="s">
        <v>519</v>
      </c>
      <c r="E162" s="192"/>
      <c r="F162" s="221">
        <f>15000-15000</f>
        <v>0</v>
      </c>
    </row>
    <row r="163" spans="1:6" ht="15.75">
      <c r="A163" s="212">
        <v>45917</v>
      </c>
      <c r="B163" s="192"/>
      <c r="C163" s="220" t="s">
        <v>520</v>
      </c>
      <c r="D163" s="214" t="s">
        <v>519</v>
      </c>
      <c r="E163" s="192"/>
      <c r="F163" s="221">
        <f>28814.76-28814.76</f>
        <v>0</v>
      </c>
    </row>
    <row r="164" spans="1:6" ht="15.75">
      <c r="A164" s="212">
        <v>45938</v>
      </c>
      <c r="B164" s="192"/>
      <c r="C164" s="220" t="s">
        <v>521</v>
      </c>
      <c r="D164" s="214" t="s">
        <v>519</v>
      </c>
      <c r="E164" s="192"/>
      <c r="F164" s="221">
        <f>323125.39-323125.39</f>
        <v>0</v>
      </c>
    </row>
    <row r="165" spans="1:6" ht="15.75">
      <c r="A165" s="212">
        <v>45947</v>
      </c>
      <c r="B165" s="192"/>
      <c r="C165" s="220" t="s">
        <v>522</v>
      </c>
      <c r="D165" s="214" t="s">
        <v>519</v>
      </c>
      <c r="E165" s="192"/>
      <c r="F165" s="221">
        <v>30000</v>
      </c>
    </row>
    <row r="166" spans="1:6" ht="15.75">
      <c r="A166" s="212">
        <v>45946</v>
      </c>
      <c r="B166" s="192"/>
      <c r="C166" s="220" t="s">
        <v>523</v>
      </c>
      <c r="D166" s="214" t="s">
        <v>519</v>
      </c>
      <c r="E166" s="192"/>
      <c r="F166" s="221">
        <f>7549-7549</f>
        <v>0</v>
      </c>
    </row>
    <row r="167" spans="1:6" ht="15.75">
      <c r="A167" s="212">
        <v>45491</v>
      </c>
      <c r="B167" s="192"/>
      <c r="C167" s="220" t="s">
        <v>524</v>
      </c>
      <c r="D167" s="220" t="s">
        <v>180</v>
      </c>
      <c r="E167" s="192"/>
      <c r="F167" s="221">
        <f>3240-3240</f>
        <v>0</v>
      </c>
    </row>
    <row r="168" spans="1:6" ht="15.75">
      <c r="A168" s="212">
        <v>45925</v>
      </c>
      <c r="B168" s="192"/>
      <c r="C168" s="220" t="s">
        <v>525</v>
      </c>
      <c r="D168" s="220" t="s">
        <v>180</v>
      </c>
      <c r="E168" s="192"/>
      <c r="F168" s="221">
        <f>161368-161368</f>
        <v>0</v>
      </c>
    </row>
    <row r="169" spans="1:6" ht="15.75">
      <c r="A169" s="212">
        <v>45930</v>
      </c>
      <c r="B169" s="192"/>
      <c r="C169" s="220" t="s">
        <v>526</v>
      </c>
      <c r="D169" s="220" t="s">
        <v>180</v>
      </c>
      <c r="E169" s="192"/>
      <c r="F169" s="221">
        <f>212832.9-212832.9</f>
        <v>0</v>
      </c>
    </row>
    <row r="170" spans="1:6" ht="15.75">
      <c r="A170" s="212">
        <v>45947</v>
      </c>
      <c r="B170" s="192"/>
      <c r="C170" s="220" t="s">
        <v>527</v>
      </c>
      <c r="D170" s="220" t="s">
        <v>180</v>
      </c>
      <c r="E170" s="192"/>
      <c r="F170" s="221">
        <f>57956-57956</f>
        <v>0</v>
      </c>
    </row>
    <row r="171" spans="1:6" ht="15.75">
      <c r="A171" s="218">
        <v>45932</v>
      </c>
      <c r="B171" s="24"/>
      <c r="C171" s="220" t="s">
        <v>528</v>
      </c>
      <c r="D171" s="220" t="s">
        <v>183</v>
      </c>
      <c r="E171" s="192"/>
      <c r="F171" s="236">
        <f>18075-18075</f>
        <v>0</v>
      </c>
    </row>
    <row r="172" spans="1:6" ht="15.75">
      <c r="A172" s="212">
        <v>44866</v>
      </c>
      <c r="B172" s="192"/>
      <c r="C172" s="220" t="s">
        <v>529</v>
      </c>
      <c r="D172" s="220" t="s">
        <v>192</v>
      </c>
      <c r="E172" s="192"/>
      <c r="F172" s="221">
        <v>22656</v>
      </c>
    </row>
    <row r="173" spans="1:6" ht="15.75">
      <c r="A173" s="212">
        <v>45957</v>
      </c>
      <c r="B173" s="215"/>
      <c r="C173" s="220" t="s">
        <v>530</v>
      </c>
      <c r="D173" s="220" t="s">
        <v>531</v>
      </c>
      <c r="E173" s="192"/>
      <c r="F173" s="221">
        <f>286413-286413</f>
        <v>0</v>
      </c>
    </row>
    <row r="174" spans="1:6" ht="15.75">
      <c r="A174" s="237">
        <v>45959</v>
      </c>
      <c r="B174" s="191"/>
      <c r="C174" s="238" t="s">
        <v>532</v>
      </c>
      <c r="D174" s="220" t="s">
        <v>198</v>
      </c>
      <c r="E174" s="192"/>
      <c r="F174" s="229">
        <f>31500-31500</f>
        <v>0</v>
      </c>
    </row>
    <row r="175" spans="1:6" ht="15.75">
      <c r="A175" s="239">
        <v>45939</v>
      </c>
      <c r="B175" s="192"/>
      <c r="C175" s="220" t="s">
        <v>533</v>
      </c>
      <c r="D175" s="238" t="s">
        <v>534</v>
      </c>
      <c r="E175" s="192"/>
      <c r="F175" s="221">
        <f>100000-100000</f>
        <v>0</v>
      </c>
    </row>
    <row r="176" spans="1:6" ht="15.75">
      <c r="A176" s="239">
        <v>45852</v>
      </c>
      <c r="B176" s="192"/>
      <c r="C176" s="220" t="s">
        <v>535</v>
      </c>
      <c r="D176" s="214" t="s">
        <v>536</v>
      </c>
      <c r="E176" s="192"/>
      <c r="F176" s="221">
        <f>80033.5-80033.5</f>
        <v>0</v>
      </c>
    </row>
    <row r="177" spans="1:6" ht="15.75">
      <c r="A177" s="212">
        <v>45902</v>
      </c>
      <c r="B177" s="192"/>
      <c r="C177" s="220" t="s">
        <v>537</v>
      </c>
      <c r="D177" s="214" t="s">
        <v>536</v>
      </c>
      <c r="E177" s="191"/>
      <c r="F177" s="230">
        <f>97500-97500</f>
        <v>0</v>
      </c>
    </row>
    <row r="178" spans="1:6" ht="15.75">
      <c r="A178" s="239">
        <v>45322</v>
      </c>
      <c r="B178" s="232"/>
      <c r="C178" s="220" t="s">
        <v>538</v>
      </c>
      <c r="D178" s="238" t="s">
        <v>213</v>
      </c>
      <c r="E178" s="219"/>
      <c r="F178" s="230">
        <f>25193-25193</f>
        <v>0</v>
      </c>
    </row>
    <row r="179" spans="1:6" ht="15.75">
      <c r="A179" s="218">
        <v>45895</v>
      </c>
      <c r="B179" s="232"/>
      <c r="C179" s="214" t="s">
        <v>539</v>
      </c>
      <c r="D179" s="220" t="s">
        <v>540</v>
      </c>
      <c r="E179" s="219"/>
      <c r="F179" s="230">
        <f>32497.2-32497.2</f>
        <v>0</v>
      </c>
    </row>
    <row r="180" spans="1:6" ht="15.75">
      <c r="A180" s="218">
        <v>45929</v>
      </c>
      <c r="B180" s="232"/>
      <c r="C180" s="214" t="s">
        <v>541</v>
      </c>
      <c r="D180" s="220" t="s">
        <v>540</v>
      </c>
      <c r="E180" s="219"/>
      <c r="F180" s="230">
        <f>51471.6-51471.6</f>
        <v>0</v>
      </c>
    </row>
    <row r="181" spans="1:6" ht="15.75">
      <c r="A181" s="218">
        <v>45933</v>
      </c>
      <c r="B181" s="232"/>
      <c r="C181" s="214" t="s">
        <v>542</v>
      </c>
      <c r="D181" s="220" t="s">
        <v>540</v>
      </c>
      <c r="E181" s="219"/>
      <c r="F181" s="230">
        <f>6726-6726</f>
        <v>0</v>
      </c>
    </row>
    <row r="182" spans="1:6" ht="15.75">
      <c r="A182" s="218">
        <v>45944</v>
      </c>
      <c r="B182" s="234"/>
      <c r="C182" s="214" t="s">
        <v>543</v>
      </c>
      <c r="D182" s="220" t="s">
        <v>540</v>
      </c>
      <c r="E182" s="192"/>
      <c r="F182" s="230">
        <f>9227.6-9227.6</f>
        <v>0</v>
      </c>
    </row>
    <row r="183" spans="1:6" ht="15.75">
      <c r="A183" s="212">
        <v>45902</v>
      </c>
      <c r="B183" s="234"/>
      <c r="C183" s="220" t="s">
        <v>544</v>
      </c>
      <c r="D183" s="220" t="s">
        <v>220</v>
      </c>
      <c r="E183" s="192"/>
      <c r="F183" s="230">
        <f>11030-11030</f>
        <v>0</v>
      </c>
    </row>
    <row r="184" spans="1:6" ht="15.75">
      <c r="A184" s="212">
        <v>45953</v>
      </c>
      <c r="B184" s="234"/>
      <c r="C184" s="220" t="s">
        <v>545</v>
      </c>
      <c r="D184" s="220" t="s">
        <v>220</v>
      </c>
      <c r="E184" s="192"/>
      <c r="F184" s="230">
        <v>35285.01</v>
      </c>
    </row>
    <row r="185" spans="1:6" ht="15.75">
      <c r="A185" s="212">
        <v>45953</v>
      </c>
      <c r="B185" s="215"/>
      <c r="C185" s="220" t="s">
        <v>546</v>
      </c>
      <c r="D185" s="220" t="s">
        <v>220</v>
      </c>
      <c r="E185" s="191"/>
      <c r="F185" s="230">
        <v>100000</v>
      </c>
    </row>
    <row r="186" spans="1:6" ht="15.75">
      <c r="A186" s="218">
        <v>45940</v>
      </c>
      <c r="B186" s="215"/>
      <c r="C186" s="214" t="s">
        <v>547</v>
      </c>
      <c r="D186" s="238" t="s">
        <v>223</v>
      </c>
      <c r="E186" s="191"/>
      <c r="F186" s="230">
        <f>15000-15000</f>
        <v>0</v>
      </c>
    </row>
    <row r="187" spans="1:6" ht="15.75">
      <c r="A187" s="218">
        <v>45959</v>
      </c>
      <c r="B187" s="240"/>
      <c r="C187" s="214" t="s">
        <v>548</v>
      </c>
      <c r="D187" s="238" t="s">
        <v>223</v>
      </c>
      <c r="E187" s="240"/>
      <c r="F187" s="230">
        <f>144500-144500</f>
        <v>0</v>
      </c>
    </row>
    <row r="188" spans="1:6" ht="15.75">
      <c r="A188" s="226">
        <v>45923</v>
      </c>
      <c r="B188" s="240"/>
      <c r="C188" s="226" t="s">
        <v>549</v>
      </c>
      <c r="D188" s="212" t="s">
        <v>550</v>
      </c>
      <c r="E188" s="240"/>
      <c r="F188" s="230">
        <f>22140-22140</f>
        <v>0</v>
      </c>
    </row>
    <row r="189" spans="1:6" ht="15.75">
      <c r="A189" s="226">
        <v>45958</v>
      </c>
      <c r="B189" s="240"/>
      <c r="C189" s="226" t="s">
        <v>551</v>
      </c>
      <c r="D189" s="212" t="s">
        <v>550</v>
      </c>
      <c r="E189" s="240"/>
      <c r="F189" s="230">
        <f>22850-22850</f>
        <v>0</v>
      </c>
    </row>
    <row r="190" spans="1:6" ht="15.75">
      <c r="A190" s="226">
        <v>45958</v>
      </c>
      <c r="B190" s="219"/>
      <c r="C190" s="226" t="s">
        <v>552</v>
      </c>
      <c r="D190" s="212" t="s">
        <v>550</v>
      </c>
      <c r="E190" s="219"/>
      <c r="F190" s="230">
        <f>7500-7500</f>
        <v>0</v>
      </c>
    </row>
    <row r="191" spans="1:6" ht="15.75">
      <c r="A191" s="226">
        <v>45804</v>
      </c>
      <c r="B191" s="215"/>
      <c r="C191" s="214" t="s">
        <v>553</v>
      </c>
      <c r="D191" s="214" t="s">
        <v>234</v>
      </c>
      <c r="E191" s="215"/>
      <c r="F191" s="231">
        <v>6960</v>
      </c>
    </row>
    <row r="192" spans="1:6" ht="15.75">
      <c r="A192" s="218">
        <v>45911</v>
      </c>
      <c r="B192" s="215"/>
      <c r="C192" s="214" t="s">
        <v>554</v>
      </c>
      <c r="D192" s="222" t="s">
        <v>555</v>
      </c>
      <c r="E192" s="215"/>
      <c r="F192" s="231">
        <f>26000-26000</f>
        <v>0</v>
      </c>
    </row>
    <row r="193" spans="1:6" ht="15.75">
      <c r="A193" s="218">
        <v>45922</v>
      </c>
      <c r="B193" s="215"/>
      <c r="C193" s="214" t="s">
        <v>556</v>
      </c>
      <c r="D193" s="222" t="s">
        <v>249</v>
      </c>
      <c r="E193" s="241"/>
      <c r="F193" s="231">
        <f>46574.08-46574.08</f>
        <v>0</v>
      </c>
    </row>
    <row r="194" spans="1:6" ht="15.75">
      <c r="A194" s="214" t="s">
        <v>557</v>
      </c>
      <c r="B194" s="215"/>
      <c r="C194" s="214" t="s">
        <v>557</v>
      </c>
      <c r="D194" s="214" t="s">
        <v>17</v>
      </c>
      <c r="E194" s="219"/>
      <c r="F194" s="231">
        <f>79012.5+1187.5+2337.5+2912.5+1187.5+1187.5+1187.5+2637.5+1187.5+12862.5</f>
        <v>105700</v>
      </c>
    </row>
    <row r="195" spans="1:6" ht="15.75">
      <c r="A195" s="218">
        <v>45901</v>
      </c>
      <c r="B195" s="215"/>
      <c r="C195" s="214" t="s">
        <v>558</v>
      </c>
      <c r="D195" s="222" t="s">
        <v>251</v>
      </c>
      <c r="E195" s="219"/>
      <c r="F195" s="231">
        <f>278480-278480</f>
        <v>0</v>
      </c>
    </row>
    <row r="196" spans="1:6" ht="15.75">
      <c r="A196" s="218">
        <v>45943</v>
      </c>
      <c r="B196" s="219"/>
      <c r="C196" s="214" t="s">
        <v>559</v>
      </c>
      <c r="D196" s="222" t="s">
        <v>251</v>
      </c>
      <c r="E196" s="215"/>
      <c r="F196" s="231">
        <f>37760-37760</f>
        <v>0</v>
      </c>
    </row>
    <row r="197" spans="1:6" ht="15.75">
      <c r="A197" s="218">
        <v>45958</v>
      </c>
      <c r="B197" s="219"/>
      <c r="C197" s="214" t="s">
        <v>560</v>
      </c>
      <c r="D197" s="222" t="s">
        <v>561</v>
      </c>
      <c r="E197" s="215"/>
      <c r="F197" s="231">
        <v>110656.03</v>
      </c>
    </row>
    <row r="198" spans="1:6" ht="15.75">
      <c r="A198" s="218">
        <v>45910</v>
      </c>
      <c r="B198" s="219"/>
      <c r="C198" s="214" t="s">
        <v>562</v>
      </c>
      <c r="D198" s="222" t="s">
        <v>262</v>
      </c>
      <c r="E198" s="215"/>
      <c r="F198" s="231">
        <f>46855.12-46855.12</f>
        <v>0</v>
      </c>
    </row>
    <row r="199" spans="1:6" ht="15.75">
      <c r="A199" s="218">
        <v>45910</v>
      </c>
      <c r="B199" s="219"/>
      <c r="C199" s="214" t="s">
        <v>563</v>
      </c>
      <c r="D199" s="222" t="s">
        <v>262</v>
      </c>
      <c r="E199" s="215"/>
      <c r="F199" s="231">
        <f>2879.09-2879.09</f>
        <v>0</v>
      </c>
    </row>
    <row r="200" spans="1:6" ht="15.75">
      <c r="A200" s="218">
        <v>45954</v>
      </c>
      <c r="B200" s="215"/>
      <c r="C200" s="214" t="s">
        <v>564</v>
      </c>
      <c r="D200" s="222" t="s">
        <v>269</v>
      </c>
      <c r="E200" s="215"/>
      <c r="F200" s="231">
        <f>37760-37760</f>
        <v>0</v>
      </c>
    </row>
    <row r="201" spans="1:6" ht="15.75">
      <c r="A201" s="218">
        <v>45961</v>
      </c>
      <c r="B201" s="215"/>
      <c r="C201" s="222" t="s">
        <v>565</v>
      </c>
      <c r="D201" s="220" t="s">
        <v>273</v>
      </c>
      <c r="E201" s="215"/>
      <c r="F201" s="231">
        <v>73818.45</v>
      </c>
    </row>
    <row r="202" spans="1:6" ht="15.75">
      <c r="A202" s="218">
        <v>45923</v>
      </c>
      <c r="B202" s="215"/>
      <c r="C202" s="222" t="s">
        <v>566</v>
      </c>
      <c r="D202" s="220" t="s">
        <v>273</v>
      </c>
      <c r="E202" s="215"/>
      <c r="F202" s="231">
        <f>62824.05-62824.05</f>
        <v>0</v>
      </c>
    </row>
    <row r="203" spans="1:6" ht="15.75">
      <c r="A203" s="218">
        <v>45932</v>
      </c>
      <c r="B203" s="215"/>
      <c r="C203" s="222" t="s">
        <v>567</v>
      </c>
      <c r="D203" s="220" t="s">
        <v>273</v>
      </c>
      <c r="E203" s="215"/>
      <c r="F203" s="231">
        <f>11070-11070</f>
        <v>0</v>
      </c>
    </row>
    <row r="204" spans="1:6" ht="15.75">
      <c r="A204" s="218">
        <v>45931</v>
      </c>
      <c r="B204" s="219"/>
      <c r="C204" s="222" t="s">
        <v>568</v>
      </c>
      <c r="D204" s="220" t="s">
        <v>273</v>
      </c>
      <c r="E204" s="215"/>
      <c r="F204" s="231">
        <f>251096-251096</f>
        <v>0</v>
      </c>
    </row>
    <row r="205" spans="1:6" ht="15.75">
      <c r="A205" s="218">
        <v>45917</v>
      </c>
      <c r="B205" s="219"/>
      <c r="C205" s="222" t="s">
        <v>569</v>
      </c>
      <c r="D205" s="222" t="s">
        <v>275</v>
      </c>
      <c r="E205" s="215"/>
      <c r="F205" s="231">
        <v>20414</v>
      </c>
    </row>
    <row r="206" spans="1:6" ht="15.75">
      <c r="A206" s="218">
        <v>45943</v>
      </c>
      <c r="B206" s="215"/>
      <c r="C206" s="214"/>
      <c r="D206" s="220" t="s">
        <v>285</v>
      </c>
      <c r="E206" s="215"/>
      <c r="F206" s="231">
        <f>26943.36-26943.36</f>
        <v>0</v>
      </c>
    </row>
    <row r="207" spans="1:6" ht="15.75">
      <c r="A207" s="218">
        <v>45929</v>
      </c>
      <c r="B207" s="215"/>
      <c r="C207" s="214" t="s">
        <v>570</v>
      </c>
      <c r="D207" s="220" t="s">
        <v>305</v>
      </c>
      <c r="E207" s="215"/>
      <c r="F207" s="231">
        <f>31399.94-31399.94</f>
        <v>0</v>
      </c>
    </row>
    <row r="208" spans="1:6" ht="15.75">
      <c r="A208" s="218">
        <v>45933</v>
      </c>
      <c r="B208" s="215"/>
      <c r="C208" s="222" t="s">
        <v>571</v>
      </c>
      <c r="D208" s="220" t="s">
        <v>311</v>
      </c>
      <c r="E208" s="215"/>
      <c r="F208" s="231">
        <f>53400-53400</f>
        <v>0</v>
      </c>
    </row>
    <row r="209" spans="1:6" ht="15.75">
      <c r="A209" s="218">
        <v>45933</v>
      </c>
      <c r="B209" s="215"/>
      <c r="C209" s="222" t="s">
        <v>572</v>
      </c>
      <c r="D209" s="220" t="s">
        <v>311</v>
      </c>
      <c r="E209" s="215"/>
      <c r="F209" s="231">
        <f>527884-527884</f>
        <v>0</v>
      </c>
    </row>
    <row r="210" spans="1:6" ht="15.75">
      <c r="A210" s="218">
        <v>45933</v>
      </c>
      <c r="B210" s="219"/>
      <c r="C210" s="222" t="s">
        <v>573</v>
      </c>
      <c r="D210" s="220" t="s">
        <v>311</v>
      </c>
      <c r="E210" s="215"/>
      <c r="F210" s="231">
        <f>563012-563012</f>
        <v>0</v>
      </c>
    </row>
    <row r="211" spans="1:6" ht="15.75">
      <c r="A211" s="218">
        <v>45954</v>
      </c>
      <c r="B211" s="234"/>
      <c r="C211" s="214" t="s">
        <v>574</v>
      </c>
      <c r="D211" s="220" t="s">
        <v>330</v>
      </c>
      <c r="E211" s="192"/>
      <c r="F211" s="221">
        <f>49843.2-49843.2</f>
        <v>0</v>
      </c>
    </row>
    <row r="212" spans="1:6" ht="15.75">
      <c r="A212" s="212">
        <v>45932</v>
      </c>
      <c r="B212" s="234"/>
      <c r="C212" s="220" t="s">
        <v>575</v>
      </c>
      <c r="D212" s="220" t="s">
        <v>334</v>
      </c>
      <c r="E212" s="192"/>
      <c r="F212" s="221">
        <f>300000-300000</f>
        <v>0</v>
      </c>
    </row>
    <row r="213" spans="1:6" ht="15.75">
      <c r="A213" s="212">
        <v>45945</v>
      </c>
      <c r="B213" s="234"/>
      <c r="C213" s="220" t="s">
        <v>576</v>
      </c>
      <c r="D213" s="220" t="s">
        <v>350</v>
      </c>
      <c r="E213" s="192"/>
      <c r="F213" s="221">
        <f>94551.04-94551.04</f>
        <v>0</v>
      </c>
    </row>
    <row r="214" spans="1:6" ht="15.75">
      <c r="A214" s="212">
        <v>45932</v>
      </c>
      <c r="B214" s="234"/>
      <c r="C214" s="220" t="s">
        <v>577</v>
      </c>
      <c r="D214" s="220" t="s">
        <v>578</v>
      </c>
      <c r="E214" s="192"/>
      <c r="F214" s="221">
        <f>70700-70700</f>
        <v>0</v>
      </c>
    </row>
    <row r="215" spans="1:6" ht="15.75">
      <c r="A215" s="212">
        <v>45960</v>
      </c>
      <c r="B215" s="215"/>
      <c r="C215" s="220" t="s">
        <v>579</v>
      </c>
      <c r="D215" s="220" t="s">
        <v>578</v>
      </c>
      <c r="E215" s="215"/>
      <c r="F215" s="231">
        <f>42590-42590</f>
        <v>0</v>
      </c>
    </row>
    <row r="216" spans="1:6" ht="15.75">
      <c r="A216" s="212">
        <v>45960</v>
      </c>
      <c r="B216" s="219"/>
      <c r="C216" s="220" t="s">
        <v>580</v>
      </c>
      <c r="D216" s="220" t="s">
        <v>578</v>
      </c>
      <c r="E216" s="215"/>
      <c r="F216" s="231">
        <f>15300-15300</f>
        <v>0</v>
      </c>
    </row>
    <row r="217" spans="1:6" ht="15.75">
      <c r="A217" s="218">
        <v>45901</v>
      </c>
      <c r="B217" s="219"/>
      <c r="C217" s="222" t="s">
        <v>581</v>
      </c>
      <c r="D217" s="220" t="s">
        <v>361</v>
      </c>
      <c r="E217" s="215"/>
      <c r="F217" s="231">
        <f>18500-18500</f>
        <v>0</v>
      </c>
    </row>
    <row r="218" spans="1:6" ht="15.75">
      <c r="A218" s="218">
        <v>45959</v>
      </c>
      <c r="B218" s="219"/>
      <c r="C218" s="214" t="s">
        <v>582</v>
      </c>
      <c r="D218" s="222" t="s">
        <v>365</v>
      </c>
      <c r="E218" s="215"/>
      <c r="F218" s="231">
        <f>29300-29300</f>
        <v>0</v>
      </c>
    </row>
    <row r="219" spans="1:6">
      <c r="A219" s="218">
        <v>45919</v>
      </c>
      <c r="B219" s="19"/>
      <c r="C219" s="214"/>
      <c r="D219" s="222" t="s">
        <v>365</v>
      </c>
      <c r="E219" s="19"/>
      <c r="F219" s="242">
        <f>153220.65-153220.65</f>
        <v>0</v>
      </c>
    </row>
    <row r="220" spans="1:6">
      <c r="A220" s="218">
        <v>45944</v>
      </c>
      <c r="B220" s="19"/>
      <c r="C220" s="214"/>
      <c r="D220" s="222" t="s">
        <v>365</v>
      </c>
      <c r="E220" s="19"/>
      <c r="F220" s="242">
        <f>153220.65-153220.65</f>
        <v>0</v>
      </c>
    </row>
    <row r="221" spans="1:6" ht="15.75">
      <c r="A221" s="218">
        <v>45936</v>
      </c>
      <c r="B221" s="19"/>
      <c r="C221" s="214" t="s">
        <v>583</v>
      </c>
      <c r="D221" s="222" t="s">
        <v>584</v>
      </c>
      <c r="E221" s="243"/>
      <c r="F221" s="244">
        <f>7500-7500</f>
        <v>0</v>
      </c>
    </row>
    <row r="222" spans="1:6" ht="15.75">
      <c r="A222" s="218">
        <v>45964</v>
      </c>
      <c r="B222" s="19"/>
      <c r="C222" s="214"/>
      <c r="D222" s="222" t="s">
        <v>585</v>
      </c>
      <c r="E222" s="245" t="s">
        <v>586</v>
      </c>
      <c r="F222" s="244">
        <f>7000-7000</f>
        <v>0</v>
      </c>
    </row>
    <row r="223" spans="1:6" ht="15.75">
      <c r="A223" s="218">
        <v>45973</v>
      </c>
      <c r="B223" s="19"/>
      <c r="C223" s="214"/>
      <c r="D223" s="222" t="s">
        <v>245</v>
      </c>
      <c r="E223" s="245" t="s">
        <v>587</v>
      </c>
      <c r="F223" s="244">
        <f>4800-4800</f>
        <v>0</v>
      </c>
    </row>
    <row r="224" spans="1:6" ht="15.75">
      <c r="A224" s="218">
        <v>45973</v>
      </c>
      <c r="B224" s="19"/>
      <c r="C224" s="214"/>
      <c r="D224" s="222" t="s">
        <v>245</v>
      </c>
      <c r="E224" s="245" t="s">
        <v>587</v>
      </c>
      <c r="F224" s="244">
        <f>6200-6200</f>
        <v>0</v>
      </c>
    </row>
    <row r="225" spans="1:6" ht="15.75">
      <c r="A225" s="218">
        <v>45973</v>
      </c>
      <c r="B225" s="19"/>
      <c r="C225" s="214"/>
      <c r="D225" s="222" t="s">
        <v>245</v>
      </c>
      <c r="E225" s="245" t="s">
        <v>587</v>
      </c>
      <c r="F225" s="244">
        <f>4900-4900</f>
        <v>0</v>
      </c>
    </row>
    <row r="226" spans="1:6" ht="15.75">
      <c r="A226" s="218">
        <v>45957</v>
      </c>
      <c r="B226" s="19"/>
      <c r="C226" s="214" t="s">
        <v>588</v>
      </c>
      <c r="D226" s="222" t="s">
        <v>589</v>
      </c>
      <c r="E226" s="245" t="s">
        <v>590</v>
      </c>
      <c r="F226" s="244">
        <f>251600-251600</f>
        <v>0</v>
      </c>
    </row>
    <row r="227" spans="1:6" ht="15.75">
      <c r="A227" s="218">
        <v>45959</v>
      </c>
      <c r="B227" s="19" t="s">
        <v>591</v>
      </c>
      <c r="C227" s="214" t="s">
        <v>592</v>
      </c>
      <c r="D227" s="222" t="s">
        <v>593</v>
      </c>
      <c r="E227" s="245" t="s">
        <v>376</v>
      </c>
      <c r="F227" s="244">
        <f>236477-236477</f>
        <v>0</v>
      </c>
    </row>
    <row r="228" spans="1:6" ht="15.75">
      <c r="A228" s="218">
        <v>45963</v>
      </c>
      <c r="B228" s="19" t="s">
        <v>594</v>
      </c>
      <c r="C228" s="214" t="s">
        <v>595</v>
      </c>
      <c r="D228" s="222" t="s">
        <v>596</v>
      </c>
      <c r="E228" s="245" t="s">
        <v>376</v>
      </c>
      <c r="F228" s="244">
        <f>271000-271000</f>
        <v>0</v>
      </c>
    </row>
    <row r="229" spans="1:6" ht="15.75">
      <c r="A229" s="218">
        <v>45963</v>
      </c>
      <c r="B229" s="19" t="s">
        <v>597</v>
      </c>
      <c r="C229" s="214" t="s">
        <v>576</v>
      </c>
      <c r="D229" s="222" t="s">
        <v>598</v>
      </c>
      <c r="E229" s="245" t="s">
        <v>376</v>
      </c>
      <c r="F229" s="244">
        <v>56500</v>
      </c>
    </row>
    <row r="230" spans="1:6" ht="15.75">
      <c r="A230" s="218">
        <v>45971</v>
      </c>
      <c r="B230" s="19"/>
      <c r="C230" s="214" t="s">
        <v>599</v>
      </c>
      <c r="D230" s="222" t="s">
        <v>262</v>
      </c>
      <c r="E230" s="245" t="s">
        <v>600</v>
      </c>
      <c r="F230" s="244">
        <f>15131.81-15131.81</f>
        <v>0</v>
      </c>
    </row>
    <row r="231" spans="1:6" ht="15.75">
      <c r="A231" s="218">
        <v>45971</v>
      </c>
      <c r="B231" s="19"/>
      <c r="C231" s="214" t="s">
        <v>601</v>
      </c>
      <c r="D231" s="222" t="s">
        <v>262</v>
      </c>
      <c r="E231" s="245" t="s">
        <v>602</v>
      </c>
      <c r="F231" s="244">
        <f>3283.48-3283.48</f>
        <v>0</v>
      </c>
    </row>
    <row r="232" spans="1:6" ht="15.75">
      <c r="A232" s="218">
        <v>45966</v>
      </c>
      <c r="B232" s="19"/>
      <c r="C232" s="214" t="s">
        <v>603</v>
      </c>
      <c r="D232" s="222" t="s">
        <v>448</v>
      </c>
      <c r="E232" s="245" t="s">
        <v>228</v>
      </c>
      <c r="F232" s="244">
        <v>24259.37</v>
      </c>
    </row>
    <row r="233" spans="1:6" ht="15.75">
      <c r="A233" s="218">
        <v>45966</v>
      </c>
      <c r="B233" s="19"/>
      <c r="C233" s="214" t="s">
        <v>604</v>
      </c>
      <c r="D233" s="222" t="s">
        <v>180</v>
      </c>
      <c r="E233" s="245" t="s">
        <v>605</v>
      </c>
      <c r="F233" s="244">
        <f>98090-98090</f>
        <v>0</v>
      </c>
    </row>
    <row r="234" spans="1:6" ht="15.75">
      <c r="A234" s="218">
        <v>45964</v>
      </c>
      <c r="B234" s="19"/>
      <c r="C234" s="214" t="s">
        <v>606</v>
      </c>
      <c r="D234" s="222" t="s">
        <v>180</v>
      </c>
      <c r="E234" s="245" t="s">
        <v>590</v>
      </c>
      <c r="F234" s="244">
        <v>279450.55</v>
      </c>
    </row>
    <row r="235" spans="1:6" ht="15.75">
      <c r="A235" s="218">
        <v>45964</v>
      </c>
      <c r="B235" s="19"/>
      <c r="C235" s="214" t="s">
        <v>607</v>
      </c>
      <c r="D235" s="222" t="s">
        <v>180</v>
      </c>
      <c r="E235" s="245" t="s">
        <v>608</v>
      </c>
      <c r="F235" s="244">
        <f>149160-149160</f>
        <v>0</v>
      </c>
    </row>
    <row r="236" spans="1:6" ht="15.75">
      <c r="A236" s="218">
        <v>45974</v>
      </c>
      <c r="B236" s="19"/>
      <c r="C236" s="214" t="s">
        <v>609</v>
      </c>
      <c r="D236" s="222" t="s">
        <v>610</v>
      </c>
      <c r="E236" s="245" t="s">
        <v>242</v>
      </c>
      <c r="F236" s="244">
        <f>78000-78000</f>
        <v>0</v>
      </c>
    </row>
    <row r="237" spans="1:6" ht="15.75">
      <c r="A237" s="218">
        <v>45966</v>
      </c>
      <c r="B237" s="19"/>
      <c r="C237" s="214" t="s">
        <v>611</v>
      </c>
      <c r="D237" s="222" t="s">
        <v>534</v>
      </c>
      <c r="E237" s="245" t="s">
        <v>586</v>
      </c>
      <c r="F237" s="244">
        <f>115000-115000</f>
        <v>0</v>
      </c>
    </row>
    <row r="238" spans="1:6" ht="15.75">
      <c r="A238" s="218">
        <v>45968</v>
      </c>
      <c r="B238" s="19"/>
      <c r="C238" s="214" t="s">
        <v>612</v>
      </c>
      <c r="D238" s="222" t="s">
        <v>406</v>
      </c>
      <c r="E238" s="245" t="s">
        <v>376</v>
      </c>
      <c r="F238" s="244">
        <v>99500</v>
      </c>
    </row>
    <row r="239" spans="1:6" ht="15.75">
      <c r="A239" s="218">
        <v>45940</v>
      </c>
      <c r="B239" s="19"/>
      <c r="C239" s="214"/>
      <c r="D239" s="222" t="s">
        <v>262</v>
      </c>
      <c r="E239" s="245" t="s">
        <v>613</v>
      </c>
      <c r="F239" s="244">
        <f>3199.01-3199.01</f>
        <v>0</v>
      </c>
    </row>
    <row r="240" spans="1:6" ht="15.75">
      <c r="A240" s="218">
        <v>45940</v>
      </c>
      <c r="B240" s="19"/>
      <c r="C240" s="214"/>
      <c r="D240" s="222" t="s">
        <v>262</v>
      </c>
      <c r="E240" s="245" t="s">
        <v>614</v>
      </c>
      <c r="F240" s="244">
        <f>13747.5-13747.5</f>
        <v>0</v>
      </c>
    </row>
    <row r="241" spans="1:6" ht="15.75">
      <c r="A241" s="218">
        <v>45981</v>
      </c>
      <c r="B241" s="19" t="s">
        <v>615</v>
      </c>
      <c r="C241" s="214" t="s">
        <v>616</v>
      </c>
      <c r="D241" s="222" t="s">
        <v>350</v>
      </c>
      <c r="E241" s="245" t="s">
        <v>586</v>
      </c>
      <c r="F241" s="244">
        <v>159123</v>
      </c>
    </row>
    <row r="242" spans="1:6" ht="15.75">
      <c r="A242" s="218">
        <v>45982</v>
      </c>
      <c r="B242" s="19"/>
      <c r="C242" s="214" t="s">
        <v>617</v>
      </c>
      <c r="D242" s="222" t="s">
        <v>180</v>
      </c>
      <c r="E242" s="245" t="s">
        <v>618</v>
      </c>
      <c r="F242" s="244">
        <f>33920-33920</f>
        <v>0</v>
      </c>
    </row>
    <row r="243" spans="1:6" ht="15.75">
      <c r="A243" s="218">
        <v>45962</v>
      </c>
      <c r="B243" s="19" t="s">
        <v>619</v>
      </c>
      <c r="C243" s="214" t="s">
        <v>620</v>
      </c>
      <c r="D243" s="222" t="s">
        <v>621</v>
      </c>
      <c r="E243" s="245" t="s">
        <v>622</v>
      </c>
      <c r="F243" s="244">
        <f>86500-86500</f>
        <v>0</v>
      </c>
    </row>
    <row r="244" spans="1:6" ht="15.75">
      <c r="A244" s="218">
        <v>45985</v>
      </c>
      <c r="B244" s="19" t="s">
        <v>623</v>
      </c>
      <c r="C244" s="214" t="s">
        <v>624</v>
      </c>
      <c r="D244" s="222" t="s">
        <v>584</v>
      </c>
      <c r="E244" s="245" t="s">
        <v>625</v>
      </c>
      <c r="F244" s="244">
        <f>410000-410000</f>
        <v>0</v>
      </c>
    </row>
    <row r="245" spans="1:6" ht="15.75">
      <c r="A245" s="218">
        <v>45981</v>
      </c>
      <c r="B245" s="19" t="s">
        <v>626</v>
      </c>
      <c r="C245" s="214" t="s">
        <v>627</v>
      </c>
      <c r="D245" s="222" t="s">
        <v>578</v>
      </c>
      <c r="E245" s="245" t="s">
        <v>376</v>
      </c>
      <c r="F245" s="244">
        <v>21800</v>
      </c>
    </row>
    <row r="246" spans="1:6" ht="15.75">
      <c r="A246" s="218">
        <v>45981</v>
      </c>
      <c r="B246" s="19" t="s">
        <v>628</v>
      </c>
      <c r="C246" s="214" t="s">
        <v>629</v>
      </c>
      <c r="D246" s="222" t="s">
        <v>365</v>
      </c>
      <c r="E246" s="245" t="s">
        <v>630</v>
      </c>
      <c r="F246" s="244">
        <f>458769-458769</f>
        <v>0</v>
      </c>
    </row>
    <row r="247" spans="1:6" ht="15.75">
      <c r="A247" s="218">
        <v>45982</v>
      </c>
      <c r="B247" s="19" t="s">
        <v>631</v>
      </c>
      <c r="C247" s="214" t="s">
        <v>632</v>
      </c>
      <c r="D247" s="222" t="s">
        <v>407</v>
      </c>
      <c r="E247" s="245" t="s">
        <v>630</v>
      </c>
      <c r="F247" s="244">
        <f>10974-10974</f>
        <v>0</v>
      </c>
    </row>
    <row r="248" spans="1:6" ht="15.75">
      <c r="A248" s="218">
        <v>45987</v>
      </c>
      <c r="B248" s="19" t="s">
        <v>633</v>
      </c>
      <c r="C248" s="214" t="s">
        <v>634</v>
      </c>
      <c r="D248" s="222" t="s">
        <v>519</v>
      </c>
      <c r="E248" s="245" t="s">
        <v>635</v>
      </c>
      <c r="F248" s="244">
        <v>1135723.6100000001</v>
      </c>
    </row>
    <row r="249" spans="1:6" ht="15.75">
      <c r="A249" s="218">
        <v>45985</v>
      </c>
      <c r="B249" s="19" t="s">
        <v>636</v>
      </c>
      <c r="C249" s="214" t="s">
        <v>637</v>
      </c>
      <c r="D249" s="222" t="s">
        <v>561</v>
      </c>
      <c r="E249" s="245" t="s">
        <v>638</v>
      </c>
      <c r="F249" s="244">
        <v>83984.9</v>
      </c>
    </row>
    <row r="250" spans="1:6" ht="15.75">
      <c r="A250" s="218">
        <v>45985</v>
      </c>
      <c r="B250" s="19" t="s">
        <v>639</v>
      </c>
      <c r="C250" s="214" t="s">
        <v>640</v>
      </c>
      <c r="D250" s="222" t="s">
        <v>311</v>
      </c>
      <c r="E250" s="245" t="s">
        <v>388</v>
      </c>
      <c r="F250" s="244">
        <v>1800</v>
      </c>
    </row>
    <row r="251" spans="1:6" ht="15.75">
      <c r="A251" s="218">
        <v>45985</v>
      </c>
      <c r="B251" s="19" t="s">
        <v>641</v>
      </c>
      <c r="C251" s="214" t="s">
        <v>642</v>
      </c>
      <c r="D251" s="222" t="s">
        <v>643</v>
      </c>
      <c r="E251" s="245" t="s">
        <v>388</v>
      </c>
      <c r="F251" s="244">
        <v>2775.36</v>
      </c>
    </row>
    <row r="252" spans="1:6" ht="15.75">
      <c r="A252" s="218">
        <v>45982</v>
      </c>
      <c r="B252" s="19" t="s">
        <v>644</v>
      </c>
      <c r="C252" s="214" t="s">
        <v>645</v>
      </c>
      <c r="D252" s="222" t="s">
        <v>646</v>
      </c>
      <c r="E252" s="245" t="s">
        <v>388</v>
      </c>
      <c r="F252" s="244">
        <v>11900.3</v>
      </c>
    </row>
    <row r="253" spans="1:6" ht="15.75">
      <c r="A253" s="218">
        <v>45988</v>
      </c>
      <c r="B253" s="19" t="s">
        <v>647</v>
      </c>
      <c r="C253" s="214" t="s">
        <v>648</v>
      </c>
      <c r="D253" s="222" t="s">
        <v>350</v>
      </c>
      <c r="E253" s="245" t="s">
        <v>649</v>
      </c>
      <c r="F253" s="244">
        <v>17049.11</v>
      </c>
    </row>
    <row r="254" spans="1:6" ht="15.75">
      <c r="A254" s="218">
        <v>45986</v>
      </c>
      <c r="B254" s="19" t="s">
        <v>650</v>
      </c>
      <c r="C254" s="214" t="s">
        <v>651</v>
      </c>
      <c r="D254" s="222" t="s">
        <v>213</v>
      </c>
      <c r="E254" s="245" t="s">
        <v>388</v>
      </c>
      <c r="F254" s="244">
        <v>148934.04</v>
      </c>
    </row>
    <row r="255" spans="1:6" ht="15.75">
      <c r="A255" s="218">
        <v>45989</v>
      </c>
      <c r="B255" s="19"/>
      <c r="C255" s="214" t="s">
        <v>652</v>
      </c>
      <c r="D255" s="222" t="s">
        <v>550</v>
      </c>
      <c r="E255" s="245" t="s">
        <v>362</v>
      </c>
      <c r="F255" s="244">
        <v>25160</v>
      </c>
    </row>
    <row r="256" spans="1:6" ht="15.75">
      <c r="A256" s="218">
        <v>45989</v>
      </c>
      <c r="B256" s="19"/>
      <c r="C256" s="214" t="s">
        <v>653</v>
      </c>
      <c r="D256" s="222" t="s">
        <v>550</v>
      </c>
      <c r="E256" s="245"/>
      <c r="F256" s="244">
        <v>16500</v>
      </c>
    </row>
    <row r="257" spans="1:6" ht="15.75">
      <c r="A257" s="218">
        <v>45992</v>
      </c>
      <c r="B257" s="19" t="s">
        <v>654</v>
      </c>
      <c r="C257" s="214" t="s">
        <v>655</v>
      </c>
      <c r="D257" s="222" t="s">
        <v>531</v>
      </c>
      <c r="E257" s="245" t="s">
        <v>656</v>
      </c>
      <c r="F257" s="244">
        <f>322854.05-322854.05</f>
        <v>0</v>
      </c>
    </row>
    <row r="258" spans="1:6" ht="15.75">
      <c r="A258" s="218">
        <v>45992</v>
      </c>
      <c r="B258" s="19" t="s">
        <v>657</v>
      </c>
      <c r="C258" s="214" t="s">
        <v>658</v>
      </c>
      <c r="D258" s="222" t="s">
        <v>621</v>
      </c>
      <c r="E258" s="245" t="s">
        <v>659</v>
      </c>
      <c r="F258" s="244">
        <f>395500-395500</f>
        <v>0</v>
      </c>
    </row>
    <row r="259" spans="1:6" ht="15.75">
      <c r="A259" s="218">
        <v>45995</v>
      </c>
      <c r="B259" s="19" t="s">
        <v>660</v>
      </c>
      <c r="C259" s="214" t="s">
        <v>661</v>
      </c>
      <c r="D259" s="222" t="s">
        <v>610</v>
      </c>
      <c r="E259" s="245" t="s">
        <v>242</v>
      </c>
      <c r="F259" s="244">
        <f>39000-39000</f>
        <v>0</v>
      </c>
    </row>
    <row r="260" spans="1:6" ht="15.75">
      <c r="A260" s="218">
        <v>46001</v>
      </c>
      <c r="B260" s="19"/>
      <c r="C260" s="214" t="s">
        <v>662</v>
      </c>
      <c r="D260" s="222" t="s">
        <v>262</v>
      </c>
      <c r="E260" s="245" t="s">
        <v>663</v>
      </c>
      <c r="F260" s="244">
        <f>4012.62-4012.62</f>
        <v>0</v>
      </c>
    </row>
    <row r="261" spans="1:6" ht="15.75">
      <c r="A261" s="218">
        <v>46008</v>
      </c>
      <c r="B261" s="19"/>
      <c r="C261" s="214" t="s">
        <v>664</v>
      </c>
      <c r="D261" s="222" t="s">
        <v>273</v>
      </c>
      <c r="E261" s="245" t="s">
        <v>665</v>
      </c>
      <c r="F261" s="244">
        <v>129464</v>
      </c>
    </row>
    <row r="262" spans="1:6" ht="15.75">
      <c r="A262" s="218">
        <v>45988</v>
      </c>
      <c r="B262" s="19" t="s">
        <v>666</v>
      </c>
      <c r="C262" s="214" t="s">
        <v>667</v>
      </c>
      <c r="D262" s="222" t="s">
        <v>251</v>
      </c>
      <c r="E262" s="245" t="s">
        <v>388</v>
      </c>
      <c r="F262" s="244">
        <v>27140</v>
      </c>
    </row>
    <row r="263" spans="1:6" ht="15.75">
      <c r="A263" s="218">
        <v>46003</v>
      </c>
      <c r="B263" s="19" t="s">
        <v>668</v>
      </c>
      <c r="C263" s="214" t="s">
        <v>616</v>
      </c>
      <c r="D263" s="222" t="s">
        <v>598</v>
      </c>
      <c r="E263" s="245" t="s">
        <v>376</v>
      </c>
      <c r="F263" s="244">
        <v>240600</v>
      </c>
    </row>
    <row r="264" spans="1:6" ht="15.75">
      <c r="A264" s="218">
        <v>46003</v>
      </c>
      <c r="B264" s="19" t="s">
        <v>597</v>
      </c>
      <c r="C264" s="214" t="s">
        <v>669</v>
      </c>
      <c r="D264" s="222" t="s">
        <v>598</v>
      </c>
      <c r="E264" s="245" t="s">
        <v>376</v>
      </c>
      <c r="F264" s="244">
        <v>134400</v>
      </c>
    </row>
    <row r="265" spans="1:6" ht="15.75">
      <c r="A265" s="218">
        <v>46003</v>
      </c>
      <c r="B265" s="19" t="s">
        <v>670</v>
      </c>
      <c r="C265" s="214" t="s">
        <v>671</v>
      </c>
      <c r="D265" s="222" t="s">
        <v>596</v>
      </c>
      <c r="E265" s="245" t="s">
        <v>388</v>
      </c>
      <c r="F265" s="244">
        <v>101250</v>
      </c>
    </row>
    <row r="266" spans="1:6" ht="15.75">
      <c r="A266" s="218">
        <v>46003</v>
      </c>
      <c r="B266" s="19" t="s">
        <v>672</v>
      </c>
      <c r="C266" s="222" t="s">
        <v>673</v>
      </c>
      <c r="D266" s="222" t="s">
        <v>311</v>
      </c>
      <c r="E266" s="245" t="s">
        <v>635</v>
      </c>
      <c r="F266" s="244">
        <v>299948.61</v>
      </c>
    </row>
    <row r="267" spans="1:6" ht="15.75">
      <c r="A267" s="218">
        <v>46003</v>
      </c>
      <c r="B267" s="19" t="s">
        <v>674</v>
      </c>
      <c r="C267" s="222" t="s">
        <v>675</v>
      </c>
      <c r="D267" s="222" t="s">
        <v>311</v>
      </c>
      <c r="E267" s="245" t="s">
        <v>676</v>
      </c>
      <c r="F267" s="244">
        <v>149300</v>
      </c>
    </row>
    <row r="268" spans="1:6" ht="15.75">
      <c r="A268" s="218">
        <v>46000</v>
      </c>
      <c r="B268" s="19" t="s">
        <v>677</v>
      </c>
      <c r="C268" s="222" t="s">
        <v>678</v>
      </c>
      <c r="D268" s="222" t="s">
        <v>311</v>
      </c>
      <c r="E268" s="245" t="s">
        <v>212</v>
      </c>
      <c r="F268" s="244">
        <v>847104.28</v>
      </c>
    </row>
    <row r="269" spans="1:6" ht="15.75">
      <c r="A269" s="218">
        <v>46002</v>
      </c>
      <c r="B269" s="19"/>
      <c r="C269" s="214" t="s">
        <v>679</v>
      </c>
      <c r="D269" s="222" t="s">
        <v>534</v>
      </c>
      <c r="E269" s="245" t="s">
        <v>659</v>
      </c>
      <c r="F269" s="244">
        <v>115000</v>
      </c>
    </row>
    <row r="270" spans="1:6" ht="15.75">
      <c r="A270" s="218">
        <v>46001</v>
      </c>
      <c r="B270" s="19" t="s">
        <v>680</v>
      </c>
      <c r="C270" s="214" t="s">
        <v>681</v>
      </c>
      <c r="D270" s="222" t="s">
        <v>334</v>
      </c>
      <c r="E270" s="245" t="s">
        <v>228</v>
      </c>
      <c r="F270" s="244">
        <f>300000-300000</f>
        <v>0</v>
      </c>
    </row>
    <row r="271" spans="1:6" ht="15.75">
      <c r="A271" s="218">
        <v>46001</v>
      </c>
      <c r="B271" s="19" t="s">
        <v>682</v>
      </c>
      <c r="C271" s="214" t="s">
        <v>683</v>
      </c>
      <c r="D271" s="222" t="s">
        <v>684</v>
      </c>
      <c r="E271" s="245" t="s">
        <v>685</v>
      </c>
      <c r="F271" s="244">
        <v>16520</v>
      </c>
    </row>
    <row r="272" spans="1:6" ht="15.75">
      <c r="A272" s="218">
        <v>45992</v>
      </c>
      <c r="B272" s="19"/>
      <c r="C272" s="214" t="s">
        <v>686</v>
      </c>
      <c r="D272" s="222" t="s">
        <v>249</v>
      </c>
      <c r="E272" s="245" t="s">
        <v>687</v>
      </c>
      <c r="F272" s="244">
        <v>41952</v>
      </c>
    </row>
    <row r="273" spans="1:6" ht="15.75">
      <c r="A273" s="218">
        <v>45994</v>
      </c>
      <c r="B273" s="19" t="s">
        <v>688</v>
      </c>
      <c r="C273" s="214" t="s">
        <v>689</v>
      </c>
      <c r="D273" s="222" t="s">
        <v>220</v>
      </c>
      <c r="E273" s="245" t="s">
        <v>690</v>
      </c>
      <c r="F273" s="244">
        <v>6295</v>
      </c>
    </row>
    <row r="274" spans="1:6" ht="15.75">
      <c r="A274" s="218">
        <v>45989</v>
      </c>
      <c r="B274" s="19" t="s">
        <v>691</v>
      </c>
      <c r="C274" s="214" t="s">
        <v>692</v>
      </c>
      <c r="D274" s="222" t="s">
        <v>387</v>
      </c>
      <c r="E274" s="245" t="s">
        <v>693</v>
      </c>
      <c r="F274" s="244">
        <v>293357.44</v>
      </c>
    </row>
    <row r="275" spans="1:6" ht="15.75">
      <c r="A275" s="218">
        <v>46007</v>
      </c>
      <c r="B275" s="19"/>
      <c r="C275" s="214" t="s">
        <v>694</v>
      </c>
      <c r="D275" s="222" t="s">
        <v>589</v>
      </c>
      <c r="E275" s="245" t="s">
        <v>695</v>
      </c>
      <c r="F275" s="244">
        <v>431190</v>
      </c>
    </row>
    <row r="276" spans="1:6" ht="15.75">
      <c r="A276" s="218">
        <v>46018</v>
      </c>
      <c r="B276" s="19"/>
      <c r="C276" s="214" t="s">
        <v>696</v>
      </c>
      <c r="D276" s="222" t="s">
        <v>180</v>
      </c>
      <c r="E276" s="245" t="s">
        <v>697</v>
      </c>
      <c r="F276" s="244">
        <v>120048.3</v>
      </c>
    </row>
    <row r="277" spans="1:6" ht="15.75">
      <c r="A277" s="218">
        <v>46017</v>
      </c>
      <c r="B277" s="19" t="s">
        <v>698</v>
      </c>
      <c r="C277" s="214" t="s">
        <v>699</v>
      </c>
      <c r="D277" s="222" t="s">
        <v>584</v>
      </c>
      <c r="E277" s="245" t="s">
        <v>376</v>
      </c>
      <c r="F277" s="244">
        <v>240000</v>
      </c>
    </row>
    <row r="278" spans="1:6" ht="15.75">
      <c r="A278" s="218">
        <v>46017</v>
      </c>
      <c r="B278" s="19" t="s">
        <v>700</v>
      </c>
      <c r="C278" s="214" t="s">
        <v>701</v>
      </c>
      <c r="D278" s="222" t="s">
        <v>584</v>
      </c>
      <c r="E278" s="245" t="s">
        <v>388</v>
      </c>
      <c r="F278" s="244">
        <v>52746</v>
      </c>
    </row>
    <row r="279" spans="1:6" ht="15.75">
      <c r="A279" s="218">
        <v>46017</v>
      </c>
      <c r="B279" s="19"/>
      <c r="C279" s="214" t="s">
        <v>702</v>
      </c>
      <c r="D279" s="222" t="s">
        <v>531</v>
      </c>
      <c r="E279" s="245" t="s">
        <v>197</v>
      </c>
      <c r="F279" s="244">
        <v>310917</v>
      </c>
    </row>
    <row r="280" spans="1:6" ht="15.75">
      <c r="A280" s="218">
        <v>46017</v>
      </c>
      <c r="B280" s="19"/>
      <c r="C280" s="214" t="s">
        <v>703</v>
      </c>
      <c r="D280" s="222" t="s">
        <v>621</v>
      </c>
      <c r="E280" s="245" t="s">
        <v>622</v>
      </c>
      <c r="F280" s="244">
        <v>31500</v>
      </c>
    </row>
    <row r="281" spans="1:6" ht="15.75">
      <c r="A281" s="218">
        <v>46018</v>
      </c>
      <c r="B281" s="19"/>
      <c r="C281" s="214" t="s">
        <v>704</v>
      </c>
      <c r="D281" s="222" t="s">
        <v>180</v>
      </c>
      <c r="E281" s="245" t="s">
        <v>697</v>
      </c>
      <c r="F281" s="244">
        <v>19785</v>
      </c>
    </row>
    <row r="282" spans="1:6" ht="15.75">
      <c r="A282" s="218">
        <v>46017</v>
      </c>
      <c r="B282" s="19"/>
      <c r="C282" s="214" t="s">
        <v>705</v>
      </c>
      <c r="D282" s="222" t="s">
        <v>180</v>
      </c>
      <c r="E282" s="245" t="s">
        <v>697</v>
      </c>
      <c r="F282" s="244">
        <v>45585</v>
      </c>
    </row>
    <row r="283" spans="1:6" ht="15.75">
      <c r="A283" s="218">
        <v>46001</v>
      </c>
      <c r="B283" s="19" t="s">
        <v>677</v>
      </c>
      <c r="C283" s="214" t="s">
        <v>704</v>
      </c>
      <c r="D283" s="222" t="s">
        <v>706</v>
      </c>
      <c r="E283" s="245" t="s">
        <v>707</v>
      </c>
      <c r="F283" s="244">
        <v>3771.28</v>
      </c>
    </row>
    <row r="284" spans="1:6" ht="15.75">
      <c r="A284" s="218">
        <v>46008</v>
      </c>
      <c r="B284" s="19" t="s">
        <v>708</v>
      </c>
      <c r="C284" s="214" t="s">
        <v>709</v>
      </c>
      <c r="D284" s="222" t="s">
        <v>706</v>
      </c>
      <c r="E284" s="245" t="s">
        <v>710</v>
      </c>
      <c r="F284" s="244">
        <v>18762</v>
      </c>
    </row>
    <row r="285" spans="1:6" ht="15.75">
      <c r="A285" s="218">
        <v>46009</v>
      </c>
      <c r="B285" s="19" t="s">
        <v>711</v>
      </c>
      <c r="C285" s="214" t="s">
        <v>712</v>
      </c>
      <c r="D285" s="222" t="s">
        <v>365</v>
      </c>
      <c r="E285" s="245" t="s">
        <v>713</v>
      </c>
      <c r="F285" s="244">
        <v>378728</v>
      </c>
    </row>
    <row r="286" spans="1:6" ht="15.75">
      <c r="A286" s="218">
        <v>46010</v>
      </c>
      <c r="B286" s="19" t="s">
        <v>714</v>
      </c>
      <c r="C286" s="214" t="s">
        <v>715</v>
      </c>
      <c r="D286" s="222" t="s">
        <v>365</v>
      </c>
      <c r="E286" s="245" t="s">
        <v>388</v>
      </c>
      <c r="F286" s="244">
        <v>72452</v>
      </c>
    </row>
    <row r="287" spans="1:6" ht="15.75">
      <c r="A287" s="218">
        <v>46007</v>
      </c>
      <c r="B287" s="19"/>
      <c r="C287" s="214" t="s">
        <v>716</v>
      </c>
      <c r="D287" s="222" t="s">
        <v>251</v>
      </c>
      <c r="E287" s="245" t="s">
        <v>388</v>
      </c>
      <c r="F287" s="244">
        <v>134520</v>
      </c>
    </row>
    <row r="288" spans="1:6" ht="15.75">
      <c r="A288" s="218">
        <v>46009</v>
      </c>
      <c r="B288" s="19" t="s">
        <v>717</v>
      </c>
      <c r="C288" s="214" t="s">
        <v>718</v>
      </c>
      <c r="D288" s="222" t="s">
        <v>719</v>
      </c>
      <c r="E288" s="245" t="s">
        <v>713</v>
      </c>
      <c r="F288" s="244">
        <v>26800</v>
      </c>
    </row>
    <row r="289" spans="1:6" ht="15.75">
      <c r="A289" s="218">
        <v>46009</v>
      </c>
      <c r="B289" s="19" t="s">
        <v>720</v>
      </c>
      <c r="C289" s="214" t="s">
        <v>616</v>
      </c>
      <c r="D289" s="222" t="s">
        <v>578</v>
      </c>
      <c r="E289" s="245" t="s">
        <v>713</v>
      </c>
      <c r="F289" s="244">
        <v>201200</v>
      </c>
    </row>
    <row r="290" spans="1:6" ht="15.75">
      <c r="A290" s="218">
        <v>46010</v>
      </c>
      <c r="B290" s="19"/>
      <c r="C290" s="214" t="s">
        <v>721</v>
      </c>
      <c r="D290" s="222" t="s">
        <v>722</v>
      </c>
      <c r="E290" s="245" t="s">
        <v>723</v>
      </c>
      <c r="F290" s="244">
        <v>173589.8</v>
      </c>
    </row>
    <row r="291" spans="1:6" ht="15.75">
      <c r="A291" s="218">
        <v>46017</v>
      </c>
      <c r="B291" s="19"/>
      <c r="C291" s="214" t="s">
        <v>724</v>
      </c>
      <c r="D291" s="222" t="s">
        <v>448</v>
      </c>
      <c r="E291" s="245" t="s">
        <v>228</v>
      </c>
      <c r="F291" s="244">
        <v>21850.77</v>
      </c>
    </row>
    <row r="292" spans="1:6" ht="15.75">
      <c r="A292" s="218">
        <v>46003</v>
      </c>
      <c r="B292" s="19"/>
      <c r="C292" s="214" t="s">
        <v>725</v>
      </c>
      <c r="D292" s="222" t="s">
        <v>448</v>
      </c>
      <c r="E292" s="245" t="s">
        <v>228</v>
      </c>
      <c r="F292" s="244">
        <v>22897.55</v>
      </c>
    </row>
    <row r="293" spans="1:6" ht="15.75">
      <c r="A293" s="218">
        <v>46003</v>
      </c>
      <c r="B293" s="19"/>
      <c r="C293" s="214" t="s">
        <v>725</v>
      </c>
      <c r="D293" s="222" t="s">
        <v>448</v>
      </c>
      <c r="E293" s="245" t="s">
        <v>228</v>
      </c>
      <c r="F293" s="244">
        <v>22897.55</v>
      </c>
    </row>
    <row r="294" spans="1:6" ht="15.75">
      <c r="A294" s="218">
        <v>46020</v>
      </c>
      <c r="B294" s="19"/>
      <c r="C294" s="214" t="s">
        <v>726</v>
      </c>
      <c r="D294" s="222" t="s">
        <v>550</v>
      </c>
      <c r="E294" s="245" t="s">
        <v>727</v>
      </c>
      <c r="F294" s="244">
        <v>20550</v>
      </c>
    </row>
    <row r="295" spans="1:6" ht="15.75">
      <c r="A295" s="218">
        <v>46020</v>
      </c>
      <c r="B295" s="19"/>
      <c r="C295" s="214" t="s">
        <v>728</v>
      </c>
      <c r="D295" s="222" t="s">
        <v>550</v>
      </c>
      <c r="E295" s="245" t="s">
        <v>362</v>
      </c>
      <c r="F295" s="244">
        <v>10500</v>
      </c>
    </row>
    <row r="296" spans="1:6" ht="15.75">
      <c r="A296" s="218">
        <v>46010</v>
      </c>
      <c r="B296" s="19"/>
      <c r="C296" s="214" t="s">
        <v>729</v>
      </c>
      <c r="D296" s="222" t="s">
        <v>730</v>
      </c>
      <c r="E296" s="245" t="s">
        <v>731</v>
      </c>
      <c r="F296" s="244">
        <v>489924</v>
      </c>
    </row>
    <row r="297" spans="1:6" ht="15.75">
      <c r="A297" s="218">
        <v>46013</v>
      </c>
      <c r="B297" s="19"/>
      <c r="C297" s="214" t="s">
        <v>732</v>
      </c>
      <c r="D297" s="222" t="s">
        <v>334</v>
      </c>
      <c r="E297" s="245" t="s">
        <v>228</v>
      </c>
      <c r="F297" s="244">
        <v>425000</v>
      </c>
    </row>
    <row r="298" spans="1:6" ht="15.75">
      <c r="A298" s="218">
        <v>46007</v>
      </c>
      <c r="B298" s="19"/>
      <c r="C298" s="214" t="s">
        <v>733</v>
      </c>
      <c r="D298" s="222" t="s">
        <v>389</v>
      </c>
      <c r="E298" s="245" t="s">
        <v>388</v>
      </c>
      <c r="F298" s="244">
        <v>32445.66</v>
      </c>
    </row>
    <row r="299" spans="1:6" ht="15.75">
      <c r="A299" s="218">
        <v>46010</v>
      </c>
      <c r="B299" s="19"/>
      <c r="C299" s="214" t="s">
        <v>734</v>
      </c>
      <c r="D299" s="222" t="s">
        <v>390</v>
      </c>
      <c r="E299" s="245" t="s">
        <v>388</v>
      </c>
      <c r="F299" s="244">
        <v>29000</v>
      </c>
    </row>
    <row r="300" spans="1:6" ht="15.75">
      <c r="A300" s="218">
        <v>46010</v>
      </c>
      <c r="B300" s="19"/>
      <c r="C300" s="214" t="s">
        <v>735</v>
      </c>
      <c r="D300" s="222" t="s">
        <v>391</v>
      </c>
      <c r="E300" s="245" t="s">
        <v>388</v>
      </c>
      <c r="F300" s="244">
        <v>455119.33</v>
      </c>
    </row>
    <row r="301" spans="1:6" ht="15.75">
      <c r="A301" s="218"/>
      <c r="B301" s="19"/>
      <c r="C301" s="214"/>
      <c r="D301" s="222"/>
      <c r="E301" s="245"/>
      <c r="F301" s="244"/>
    </row>
    <row r="302" spans="1:6" ht="15.75">
      <c r="A302" s="218"/>
      <c r="B302" s="19"/>
      <c r="C302" s="214"/>
      <c r="D302" s="222"/>
      <c r="E302" s="245"/>
      <c r="F302" s="244"/>
    </row>
    <row r="303" spans="1:6" ht="15.75">
      <c r="A303" s="218"/>
      <c r="B303" s="19"/>
      <c r="C303" s="214"/>
      <c r="D303" s="222"/>
      <c r="E303" s="245"/>
      <c r="F303" s="244"/>
    </row>
    <row r="304" spans="1:6" ht="15.75">
      <c r="A304" s="218"/>
      <c r="B304" s="19"/>
      <c r="C304" s="214"/>
      <c r="D304" s="222"/>
      <c r="E304" s="245"/>
      <c r="F304" s="244"/>
    </row>
    <row r="305" spans="1:6" ht="15.75">
      <c r="A305" s="218"/>
      <c r="B305" s="19"/>
      <c r="C305" s="214"/>
      <c r="D305" s="222"/>
      <c r="E305" s="245"/>
      <c r="F305" s="244"/>
    </row>
    <row r="306" spans="1:6" ht="15.75">
      <c r="A306" s="19"/>
      <c r="B306" s="19"/>
      <c r="C306" s="19"/>
      <c r="D306" s="19"/>
      <c r="E306" s="245" t="s">
        <v>736</v>
      </c>
      <c r="F306" s="246">
        <f>SUM(F8:F305)-2</f>
        <v>12933538.570000002</v>
      </c>
    </row>
    <row r="307" spans="1:6" ht="15.75">
      <c r="A307" s="247"/>
      <c r="B307" s="247"/>
      <c r="C307" s="247"/>
      <c r="D307" s="247"/>
      <c r="E307" s="248"/>
      <c r="F307" s="249"/>
    </row>
    <row r="308" spans="1:6" ht="15.75">
      <c r="A308" s="247"/>
      <c r="B308" s="247"/>
      <c r="C308" s="247"/>
      <c r="D308" s="247"/>
      <c r="E308" s="248"/>
      <c r="F308" s="249"/>
    </row>
    <row r="310" spans="1:6">
      <c r="E310" t="s">
        <v>737</v>
      </c>
    </row>
    <row r="311" spans="1:6">
      <c r="A311" t="s">
        <v>738</v>
      </c>
    </row>
  </sheetData>
  <mergeCells count="3">
    <mergeCell ref="A3:F3"/>
    <mergeCell ref="A4:F4"/>
    <mergeCell ref="A5:F5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27 A8 A14:A16 C27 C24:C25 C29 C34 C15 C20:C22 C8:C11 C31 C17:C18"/>
  </dataValidation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310"/>
  <sheetViews>
    <sheetView tabSelected="1" workbookViewId="0">
      <selection activeCell="E316" sqref="E316"/>
    </sheetView>
  </sheetViews>
  <sheetFormatPr baseColWidth="10" defaultRowHeight="15"/>
  <cols>
    <col min="1" max="1" width="55.7109375" bestFit="1" customWidth="1"/>
    <col min="3" max="3" width="13.85546875" customWidth="1"/>
    <col min="5" max="5" width="16.7109375" bestFit="1" customWidth="1"/>
    <col min="6" max="6" width="13.140625" customWidth="1"/>
    <col min="7" max="7" width="14.140625" bestFit="1" customWidth="1"/>
  </cols>
  <sheetData>
    <row r="4" spans="1:12">
      <c r="A4" s="250"/>
      <c r="B4" s="250"/>
      <c r="C4" s="250"/>
      <c r="D4" s="250"/>
      <c r="E4" s="250"/>
      <c r="F4" s="250"/>
      <c r="G4" s="250"/>
      <c r="H4" s="250"/>
      <c r="I4" s="250"/>
      <c r="J4" s="250"/>
    </row>
    <row r="5" spans="1:12" ht="18.75">
      <c r="A5" s="251" t="s">
        <v>739</v>
      </c>
      <c r="B5" s="251"/>
      <c r="C5" s="251"/>
      <c r="D5" s="251"/>
      <c r="E5" s="251"/>
      <c r="F5" s="251"/>
      <c r="G5" s="251"/>
      <c r="H5" s="251"/>
      <c r="I5" s="252"/>
      <c r="J5" s="252"/>
    </row>
    <row r="6" spans="1:12">
      <c r="A6" s="253" t="s">
        <v>740</v>
      </c>
      <c r="B6" s="253"/>
      <c r="C6" s="253"/>
      <c r="D6" s="253" t="s">
        <v>741</v>
      </c>
      <c r="E6" s="253"/>
      <c r="F6" s="253"/>
      <c r="G6" s="253"/>
      <c r="H6" s="253"/>
      <c r="I6" s="253"/>
      <c r="J6" s="253"/>
    </row>
    <row r="7" spans="1:12" ht="60">
      <c r="A7" s="254" t="s">
        <v>70</v>
      </c>
      <c r="B7" s="254" t="s">
        <v>742</v>
      </c>
      <c r="C7" s="255" t="s">
        <v>743</v>
      </c>
      <c r="D7" s="254" t="s">
        <v>744</v>
      </c>
      <c r="E7" s="254" t="s">
        <v>745</v>
      </c>
      <c r="F7" s="254" t="s">
        <v>746</v>
      </c>
      <c r="G7" s="254" t="s">
        <v>747</v>
      </c>
      <c r="H7" s="254" t="s">
        <v>748</v>
      </c>
      <c r="I7" s="254" t="s">
        <v>749</v>
      </c>
      <c r="J7" s="254" t="s">
        <v>750</v>
      </c>
    </row>
    <row r="8" spans="1:12">
      <c r="A8" s="214" t="s">
        <v>417</v>
      </c>
      <c r="B8" s="220">
        <v>131374344</v>
      </c>
      <c r="C8" s="214">
        <v>291</v>
      </c>
      <c r="D8" s="212">
        <v>43731</v>
      </c>
      <c r="E8" s="256">
        <f>SUM(F8:J8)</f>
        <v>17530</v>
      </c>
      <c r="F8" s="257"/>
      <c r="G8" s="258">
        <f>17530+0</f>
        <v>17530</v>
      </c>
      <c r="H8" s="259"/>
      <c r="I8" s="259"/>
      <c r="J8" s="259"/>
      <c r="K8" s="222"/>
      <c r="L8" s="222"/>
    </row>
    <row r="9" spans="1:12">
      <c r="A9" s="214" t="s">
        <v>417</v>
      </c>
      <c r="B9" s="220">
        <v>131374344</v>
      </c>
      <c r="C9" s="214">
        <v>290</v>
      </c>
      <c r="D9" s="212">
        <v>43759</v>
      </c>
      <c r="E9" s="256">
        <f t="shared" ref="E9:E72" si="0">SUM(F9:J9)</f>
        <v>32980</v>
      </c>
      <c r="F9" s="257"/>
      <c r="G9" s="258">
        <v>32980</v>
      </c>
      <c r="H9" s="259"/>
      <c r="I9" s="259"/>
      <c r="J9" s="259"/>
      <c r="K9" s="222"/>
      <c r="L9" s="222"/>
    </row>
    <row r="10" spans="1:12">
      <c r="A10" s="214" t="s">
        <v>417</v>
      </c>
      <c r="B10" s="220">
        <v>131374344</v>
      </c>
      <c r="C10" s="214">
        <v>300</v>
      </c>
      <c r="D10" s="212">
        <v>43787</v>
      </c>
      <c r="E10" s="256">
        <f t="shared" si="0"/>
        <v>33945</v>
      </c>
      <c r="F10" s="257"/>
      <c r="G10" s="258">
        <v>33945</v>
      </c>
      <c r="H10" s="259"/>
      <c r="I10" s="259"/>
      <c r="J10" s="259"/>
      <c r="K10" s="222"/>
      <c r="L10" s="222"/>
    </row>
    <row r="11" spans="1:12">
      <c r="A11" s="214" t="s">
        <v>417</v>
      </c>
      <c r="B11" s="220">
        <v>131374344</v>
      </c>
      <c r="C11" s="214">
        <v>305</v>
      </c>
      <c r="D11" s="212">
        <v>43801</v>
      </c>
      <c r="E11" s="256">
        <f t="shared" si="0"/>
        <v>98400</v>
      </c>
      <c r="F11" s="257"/>
      <c r="G11" s="258">
        <v>98400</v>
      </c>
      <c r="H11" s="222"/>
      <c r="I11" s="222"/>
      <c r="J11" s="222"/>
      <c r="K11" s="222"/>
      <c r="L11" s="222"/>
    </row>
    <row r="12" spans="1:12">
      <c r="A12" s="214" t="s">
        <v>417</v>
      </c>
      <c r="B12" s="220">
        <v>131374344</v>
      </c>
      <c r="C12" s="214">
        <v>308</v>
      </c>
      <c r="D12" s="212">
        <v>43815</v>
      </c>
      <c r="E12" s="256">
        <f t="shared" si="0"/>
        <v>25820</v>
      </c>
      <c r="F12" s="257"/>
      <c r="G12" s="258">
        <v>25820</v>
      </c>
      <c r="H12" s="222"/>
      <c r="I12" s="222"/>
      <c r="J12" s="222"/>
      <c r="K12" s="222"/>
      <c r="L12" s="222"/>
    </row>
    <row r="13" spans="1:12">
      <c r="A13" s="214" t="s">
        <v>417</v>
      </c>
      <c r="B13" s="220">
        <v>131374344</v>
      </c>
      <c r="C13" s="214">
        <v>314</v>
      </c>
      <c r="D13" s="212">
        <v>43826</v>
      </c>
      <c r="E13" s="256">
        <f t="shared" si="0"/>
        <v>108110</v>
      </c>
      <c r="F13" s="257"/>
      <c r="G13" s="258">
        <v>108110</v>
      </c>
      <c r="H13" s="222"/>
      <c r="I13" s="222"/>
      <c r="J13" s="222"/>
      <c r="K13" s="222"/>
      <c r="L13" s="222"/>
    </row>
    <row r="14" spans="1:12">
      <c r="A14" s="214" t="s">
        <v>417</v>
      </c>
      <c r="B14" s="220">
        <v>131374344</v>
      </c>
      <c r="C14" s="214">
        <v>320</v>
      </c>
      <c r="D14" s="212">
        <v>43838</v>
      </c>
      <c r="E14" s="256">
        <f t="shared" si="0"/>
        <v>26040</v>
      </c>
      <c r="F14" s="257"/>
      <c r="G14" s="258">
        <v>26040</v>
      </c>
      <c r="H14" s="222"/>
      <c r="I14" s="222"/>
      <c r="J14" s="222"/>
      <c r="K14" s="222"/>
      <c r="L14" s="222"/>
    </row>
    <row r="15" spans="1:12">
      <c r="A15" s="214" t="s">
        <v>417</v>
      </c>
      <c r="B15" s="220">
        <v>131374344</v>
      </c>
      <c r="C15" s="214">
        <v>321</v>
      </c>
      <c r="D15" s="212">
        <v>43845</v>
      </c>
      <c r="E15" s="256">
        <f t="shared" si="0"/>
        <v>27640</v>
      </c>
      <c r="F15" s="257"/>
      <c r="G15" s="258">
        <v>27640</v>
      </c>
      <c r="H15" s="222"/>
      <c r="I15" s="222"/>
      <c r="J15" s="222"/>
      <c r="K15" s="222"/>
      <c r="L15" s="222"/>
    </row>
    <row r="16" spans="1:12">
      <c r="A16" s="214" t="s">
        <v>417</v>
      </c>
      <c r="B16" s="220">
        <v>131374344</v>
      </c>
      <c r="C16" s="214">
        <v>324</v>
      </c>
      <c r="D16" s="212">
        <v>43857</v>
      </c>
      <c r="E16" s="256">
        <f t="shared" si="0"/>
        <v>101285</v>
      </c>
      <c r="F16" s="257"/>
      <c r="G16" s="258">
        <v>101285</v>
      </c>
      <c r="H16" s="222"/>
      <c r="I16" s="222"/>
      <c r="J16" s="222"/>
      <c r="K16" s="222"/>
      <c r="L16" s="222"/>
    </row>
    <row r="17" spans="1:12">
      <c r="A17" s="220" t="s">
        <v>419</v>
      </c>
      <c r="B17" s="220">
        <v>130308489</v>
      </c>
      <c r="C17" s="214" t="s">
        <v>418</v>
      </c>
      <c r="D17" s="218">
        <v>44147</v>
      </c>
      <c r="E17" s="256">
        <f t="shared" si="0"/>
        <v>2020.1200000000008</v>
      </c>
      <c r="F17" s="260">
        <f>13020.12-11000</f>
        <v>2020.1200000000008</v>
      </c>
      <c r="G17" s="222"/>
      <c r="H17" s="222"/>
      <c r="I17" s="222"/>
      <c r="J17" s="222"/>
      <c r="K17" s="222"/>
      <c r="L17" s="222"/>
    </row>
    <row r="18" spans="1:12">
      <c r="A18" s="220" t="s">
        <v>419</v>
      </c>
      <c r="B18" s="220">
        <v>130308489</v>
      </c>
      <c r="C18" s="214" t="s">
        <v>420</v>
      </c>
      <c r="D18" s="218">
        <v>44158</v>
      </c>
      <c r="E18" s="256">
        <f t="shared" si="0"/>
        <v>14466.8</v>
      </c>
      <c r="F18" s="260">
        <v>14466.8</v>
      </c>
      <c r="G18" s="222"/>
      <c r="H18" s="222"/>
      <c r="I18" s="222"/>
      <c r="J18" s="222"/>
      <c r="K18" s="222"/>
      <c r="L18" s="222"/>
    </row>
    <row r="19" spans="1:12">
      <c r="A19" s="220" t="s">
        <v>419</v>
      </c>
      <c r="B19" s="220">
        <v>130308489</v>
      </c>
      <c r="C19" s="214" t="s">
        <v>421</v>
      </c>
      <c r="D19" s="218">
        <v>44165</v>
      </c>
      <c r="E19" s="256">
        <f t="shared" si="0"/>
        <v>13886.24</v>
      </c>
      <c r="F19" s="260">
        <v>13886.24</v>
      </c>
      <c r="G19" s="222"/>
      <c r="H19" s="222"/>
      <c r="I19" s="222"/>
      <c r="J19" s="222"/>
      <c r="K19" s="222"/>
      <c r="L19" s="222"/>
    </row>
    <row r="20" spans="1:12">
      <c r="A20" s="220" t="s">
        <v>419</v>
      </c>
      <c r="B20" s="220">
        <v>130308489</v>
      </c>
      <c r="C20" s="214" t="s">
        <v>422</v>
      </c>
      <c r="D20" s="218">
        <v>44169</v>
      </c>
      <c r="E20" s="256">
        <f t="shared" si="0"/>
        <v>14466.8</v>
      </c>
      <c r="F20" s="260">
        <v>14466.8</v>
      </c>
      <c r="G20" s="222"/>
      <c r="H20" s="222"/>
      <c r="I20" s="222"/>
      <c r="J20" s="222"/>
      <c r="K20" s="222"/>
      <c r="L20" s="222"/>
    </row>
    <row r="21" spans="1:12">
      <c r="A21" s="220" t="s">
        <v>419</v>
      </c>
      <c r="B21" s="220">
        <v>130308489</v>
      </c>
      <c r="C21" s="214" t="s">
        <v>423</v>
      </c>
      <c r="D21" s="218">
        <v>44172</v>
      </c>
      <c r="E21" s="256">
        <f t="shared" si="0"/>
        <v>11564</v>
      </c>
      <c r="F21" s="260">
        <v>11564</v>
      </c>
      <c r="G21" s="222"/>
      <c r="H21" s="222"/>
      <c r="I21" s="222"/>
      <c r="J21" s="222"/>
      <c r="K21" s="222"/>
      <c r="L21" s="222"/>
    </row>
    <row r="22" spans="1:12">
      <c r="A22" s="220" t="s">
        <v>419</v>
      </c>
      <c r="B22" s="220">
        <v>130308489</v>
      </c>
      <c r="C22" s="214" t="s">
        <v>424</v>
      </c>
      <c r="D22" s="218">
        <v>44173</v>
      </c>
      <c r="E22" s="256">
        <f t="shared" si="0"/>
        <v>11573.44</v>
      </c>
      <c r="F22" s="260">
        <v>11573.44</v>
      </c>
      <c r="G22" s="222"/>
      <c r="H22" s="222"/>
      <c r="I22" s="222"/>
      <c r="J22" s="222"/>
      <c r="K22" s="222"/>
      <c r="L22" s="222"/>
    </row>
    <row r="23" spans="1:12">
      <c r="A23" s="220" t="s">
        <v>419</v>
      </c>
      <c r="B23" s="220">
        <v>130308489</v>
      </c>
      <c r="C23" s="214" t="s">
        <v>425</v>
      </c>
      <c r="D23" s="218">
        <v>44181</v>
      </c>
      <c r="E23" s="256">
        <f t="shared" si="0"/>
        <v>14466.8</v>
      </c>
      <c r="F23" s="260">
        <v>14466.8</v>
      </c>
      <c r="G23" s="222"/>
      <c r="H23" s="222"/>
      <c r="I23" s="222"/>
      <c r="J23" s="222"/>
      <c r="K23" s="222"/>
      <c r="L23" s="222"/>
    </row>
    <row r="24" spans="1:12">
      <c r="A24" s="220" t="s">
        <v>419</v>
      </c>
      <c r="B24" s="220">
        <v>130308489</v>
      </c>
      <c r="C24" s="214" t="s">
        <v>426</v>
      </c>
      <c r="D24" s="218">
        <v>44186</v>
      </c>
      <c r="E24" s="256">
        <f t="shared" si="0"/>
        <v>14466.8</v>
      </c>
      <c r="F24" s="260">
        <v>14466.8</v>
      </c>
      <c r="G24" s="222"/>
      <c r="H24" s="222"/>
      <c r="I24" s="222"/>
      <c r="J24" s="222"/>
      <c r="K24" s="222"/>
      <c r="L24" s="222"/>
    </row>
    <row r="25" spans="1:12">
      <c r="A25" s="220" t="s">
        <v>419</v>
      </c>
      <c r="B25" s="220">
        <v>130308489</v>
      </c>
      <c r="C25" s="214" t="s">
        <v>427</v>
      </c>
      <c r="D25" s="218">
        <v>44193</v>
      </c>
      <c r="E25" s="256">
        <f t="shared" si="0"/>
        <v>11564</v>
      </c>
      <c r="F25" s="260">
        <v>11564</v>
      </c>
      <c r="G25" s="222"/>
      <c r="H25" s="222"/>
      <c r="I25" s="222"/>
      <c r="J25" s="222"/>
      <c r="K25" s="222"/>
      <c r="L25" s="222"/>
    </row>
    <row r="26" spans="1:12">
      <c r="A26" s="220" t="s">
        <v>419</v>
      </c>
      <c r="B26" s="220">
        <v>130308489</v>
      </c>
      <c r="C26" s="214" t="s">
        <v>428</v>
      </c>
      <c r="D26" s="212">
        <v>44193</v>
      </c>
      <c r="E26" s="256">
        <f t="shared" si="0"/>
        <v>7233.4</v>
      </c>
      <c r="F26" s="260">
        <v>7233.4</v>
      </c>
      <c r="G26" s="222"/>
      <c r="H26" s="222"/>
      <c r="I26" s="222"/>
      <c r="J26" s="222"/>
      <c r="K26" s="222"/>
      <c r="L26" s="222"/>
    </row>
    <row r="27" spans="1:12">
      <c r="A27" s="220" t="s">
        <v>419</v>
      </c>
      <c r="B27" s="220">
        <v>130308489</v>
      </c>
      <c r="C27" s="214" t="s">
        <v>429</v>
      </c>
      <c r="D27" s="212">
        <v>44917</v>
      </c>
      <c r="E27" s="256">
        <f t="shared" si="0"/>
        <v>0</v>
      </c>
      <c r="F27" s="260">
        <f>5782-5782</f>
        <v>0</v>
      </c>
      <c r="G27" s="222"/>
      <c r="H27" s="222"/>
      <c r="I27" s="222"/>
      <c r="J27" s="222"/>
      <c r="K27" s="222"/>
      <c r="L27" s="222"/>
    </row>
    <row r="28" spans="1:12">
      <c r="A28" s="220" t="s">
        <v>419</v>
      </c>
      <c r="B28" s="220">
        <v>130308489</v>
      </c>
      <c r="C28" s="220" t="s">
        <v>430</v>
      </c>
      <c r="D28" s="212">
        <v>45539</v>
      </c>
      <c r="E28" s="256">
        <f t="shared" si="0"/>
        <v>0</v>
      </c>
      <c r="F28" s="260">
        <f>7285.32-7285.32</f>
        <v>0</v>
      </c>
      <c r="G28" s="222"/>
      <c r="H28" s="222"/>
      <c r="I28" s="222"/>
      <c r="J28" s="222"/>
      <c r="K28" s="222"/>
      <c r="L28" s="222"/>
    </row>
    <row r="29" spans="1:12">
      <c r="A29" s="223" t="s">
        <v>431</v>
      </c>
      <c r="B29" s="220">
        <v>101550201</v>
      </c>
      <c r="C29" s="222">
        <v>103</v>
      </c>
      <c r="D29" s="218">
        <v>43686</v>
      </c>
      <c r="E29" s="261">
        <f t="shared" si="0"/>
        <v>25254.36</v>
      </c>
      <c r="F29" s="260">
        <v>25254.36</v>
      </c>
      <c r="G29" s="222"/>
      <c r="H29" s="222"/>
      <c r="I29" s="222"/>
      <c r="J29" s="222"/>
      <c r="K29" s="222"/>
      <c r="L29" s="222"/>
    </row>
    <row r="30" spans="1:12">
      <c r="A30" s="223" t="s">
        <v>431</v>
      </c>
      <c r="B30" s="220">
        <v>101550201</v>
      </c>
      <c r="C30" s="222">
        <v>111</v>
      </c>
      <c r="D30" s="218">
        <v>43721</v>
      </c>
      <c r="E30" s="261">
        <f t="shared" si="0"/>
        <v>24885.02</v>
      </c>
      <c r="F30" s="260">
        <v>24885.02</v>
      </c>
      <c r="G30" s="222"/>
      <c r="H30" s="222"/>
      <c r="I30" s="222"/>
      <c r="J30" s="222"/>
      <c r="K30" s="222"/>
      <c r="L30" s="222"/>
    </row>
    <row r="31" spans="1:12">
      <c r="A31" s="223" t="s">
        <v>431</v>
      </c>
      <c r="B31" s="220">
        <v>101550201</v>
      </c>
      <c r="C31" s="222">
        <v>130</v>
      </c>
      <c r="D31" s="218">
        <v>43804</v>
      </c>
      <c r="E31" s="261">
        <f t="shared" si="0"/>
        <v>41264.6</v>
      </c>
      <c r="F31" s="260">
        <v>41264.6</v>
      </c>
      <c r="G31" s="222"/>
      <c r="H31" s="222"/>
      <c r="I31" s="222"/>
      <c r="J31" s="222"/>
      <c r="K31" s="222"/>
      <c r="L31" s="222"/>
    </row>
    <row r="32" spans="1:12">
      <c r="A32" s="223" t="s">
        <v>431</v>
      </c>
      <c r="B32" s="220">
        <v>101550201</v>
      </c>
      <c r="C32" s="222">
        <v>142</v>
      </c>
      <c r="D32" s="218">
        <v>43874</v>
      </c>
      <c r="E32" s="261">
        <f t="shared" si="0"/>
        <v>43860.6</v>
      </c>
      <c r="F32" s="260">
        <v>43860.6</v>
      </c>
      <c r="G32" s="222"/>
      <c r="H32" s="222"/>
      <c r="I32" s="222"/>
      <c r="J32" s="222"/>
      <c r="K32" s="222"/>
      <c r="L32" s="222"/>
    </row>
    <row r="33" spans="1:12">
      <c r="A33" s="214" t="s">
        <v>432</v>
      </c>
      <c r="B33" s="220">
        <v>130934851</v>
      </c>
      <c r="C33" s="225">
        <v>254</v>
      </c>
      <c r="D33" s="212">
        <v>42307</v>
      </c>
      <c r="E33" s="256">
        <f t="shared" si="0"/>
        <v>42240</v>
      </c>
      <c r="F33" s="260">
        <f>96170-3930-50000</f>
        <v>42240</v>
      </c>
      <c r="G33" s="222"/>
      <c r="H33" s="222"/>
      <c r="I33" s="222"/>
      <c r="J33" s="222"/>
      <c r="K33" s="222"/>
      <c r="L33" s="222"/>
    </row>
    <row r="34" spans="1:12">
      <c r="A34" s="214" t="s">
        <v>146</v>
      </c>
      <c r="B34" s="220">
        <v>101027797</v>
      </c>
      <c r="C34" s="214">
        <v>108</v>
      </c>
      <c r="D34" s="226">
        <v>42894</v>
      </c>
      <c r="E34" s="256">
        <f t="shared" si="0"/>
        <v>5200</v>
      </c>
      <c r="F34" s="260">
        <f>6800-1600</f>
        <v>5200</v>
      </c>
      <c r="G34" s="222"/>
      <c r="H34" s="222"/>
      <c r="I34" s="222"/>
      <c r="J34" s="222"/>
      <c r="K34" s="222"/>
      <c r="L34" s="222"/>
    </row>
    <row r="35" spans="1:12">
      <c r="A35" s="214" t="s">
        <v>146</v>
      </c>
      <c r="B35" s="220">
        <v>101027797</v>
      </c>
      <c r="C35" s="214">
        <v>112</v>
      </c>
      <c r="D35" s="226">
        <v>42894</v>
      </c>
      <c r="E35" s="256">
        <f t="shared" si="0"/>
        <v>21680</v>
      </c>
      <c r="F35" s="260">
        <v>21680</v>
      </c>
      <c r="G35" s="222"/>
      <c r="H35" s="222"/>
      <c r="I35" s="222"/>
      <c r="J35" s="222"/>
      <c r="K35" s="222"/>
      <c r="L35" s="222"/>
    </row>
    <row r="36" spans="1:12">
      <c r="A36" s="214" t="s">
        <v>146</v>
      </c>
      <c r="B36" s="220">
        <v>101027797</v>
      </c>
      <c r="C36" s="214">
        <v>115</v>
      </c>
      <c r="D36" s="226">
        <v>42943</v>
      </c>
      <c r="E36" s="256">
        <f t="shared" si="0"/>
        <v>23400</v>
      </c>
      <c r="F36" s="260">
        <v>23400</v>
      </c>
      <c r="G36" s="222"/>
      <c r="H36" s="222"/>
      <c r="I36" s="222"/>
      <c r="J36" s="222"/>
      <c r="K36" s="222"/>
      <c r="L36" s="222"/>
    </row>
    <row r="37" spans="1:12">
      <c r="A37" s="214" t="s">
        <v>146</v>
      </c>
      <c r="B37" s="220">
        <v>101027797</v>
      </c>
      <c r="C37" s="214">
        <v>114</v>
      </c>
      <c r="D37" s="226">
        <v>42948</v>
      </c>
      <c r="E37" s="256">
        <f t="shared" si="0"/>
        <v>15600</v>
      </c>
      <c r="F37" s="260">
        <v>15600</v>
      </c>
      <c r="G37" s="222"/>
      <c r="H37" s="222"/>
      <c r="I37" s="222"/>
      <c r="J37" s="222"/>
      <c r="K37" s="222"/>
      <c r="L37" s="222"/>
    </row>
    <row r="38" spans="1:12">
      <c r="A38" s="214" t="s">
        <v>146</v>
      </c>
      <c r="B38" s="220">
        <v>101027797</v>
      </c>
      <c r="C38" s="214">
        <v>120</v>
      </c>
      <c r="D38" s="226">
        <v>43018</v>
      </c>
      <c r="E38" s="256">
        <f t="shared" si="0"/>
        <v>36816</v>
      </c>
      <c r="F38" s="260">
        <v>36816</v>
      </c>
      <c r="G38" s="222"/>
      <c r="H38" s="222"/>
      <c r="I38" s="222"/>
      <c r="J38" s="222"/>
      <c r="K38" s="222"/>
      <c r="L38" s="222"/>
    </row>
    <row r="39" spans="1:12">
      <c r="A39" s="214" t="s">
        <v>146</v>
      </c>
      <c r="B39" s="220">
        <v>101027797</v>
      </c>
      <c r="C39" s="214">
        <v>121</v>
      </c>
      <c r="D39" s="226">
        <v>43026</v>
      </c>
      <c r="E39" s="256">
        <f t="shared" si="0"/>
        <v>21090</v>
      </c>
      <c r="F39" s="260">
        <v>21090</v>
      </c>
      <c r="G39" s="222"/>
      <c r="H39" s="222"/>
      <c r="I39" s="222"/>
      <c r="J39" s="222"/>
      <c r="K39" s="222"/>
      <c r="L39" s="222"/>
    </row>
    <row r="40" spans="1:12">
      <c r="A40" s="222" t="s">
        <v>433</v>
      </c>
      <c r="B40" s="220">
        <v>101737751</v>
      </c>
      <c r="C40" s="228">
        <v>40244</v>
      </c>
      <c r="D40" s="227">
        <v>42359</v>
      </c>
      <c r="E40" s="256">
        <f t="shared" si="0"/>
        <v>61050</v>
      </c>
      <c r="F40" s="262">
        <f>101050-40000</f>
        <v>61050</v>
      </c>
      <c r="G40" s="222"/>
      <c r="H40" s="222"/>
      <c r="I40" s="222"/>
      <c r="J40" s="222"/>
      <c r="K40" s="222"/>
      <c r="L40" s="222"/>
    </row>
    <row r="41" spans="1:12">
      <c r="A41" s="222" t="s">
        <v>433</v>
      </c>
      <c r="B41" s="220">
        <v>101737751</v>
      </c>
      <c r="C41" s="228">
        <v>40248</v>
      </c>
      <c r="D41" s="227">
        <v>42360</v>
      </c>
      <c r="E41" s="256">
        <f t="shared" si="0"/>
        <v>25986.400000000001</v>
      </c>
      <c r="F41" s="262">
        <v>25986.400000000001</v>
      </c>
      <c r="G41" s="222"/>
      <c r="H41" s="222"/>
      <c r="I41" s="222"/>
      <c r="J41" s="222"/>
      <c r="K41" s="222"/>
      <c r="L41" s="222"/>
    </row>
    <row r="42" spans="1:12">
      <c r="A42" s="220" t="s">
        <v>434</v>
      </c>
      <c r="B42" s="222">
        <v>101562447</v>
      </c>
      <c r="C42" s="220">
        <v>2765</v>
      </c>
      <c r="D42" s="212">
        <v>42748</v>
      </c>
      <c r="E42" s="256">
        <f t="shared" si="0"/>
        <v>12803</v>
      </c>
      <c r="F42" s="263">
        <v>12803</v>
      </c>
      <c r="G42" s="222"/>
      <c r="H42" s="222"/>
      <c r="I42" s="222"/>
      <c r="J42" s="222"/>
      <c r="K42" s="222"/>
      <c r="L42" s="222"/>
    </row>
    <row r="43" spans="1:12">
      <c r="A43" s="220" t="s">
        <v>434</v>
      </c>
      <c r="B43" s="222">
        <v>101562447</v>
      </c>
      <c r="C43" s="222">
        <v>2975</v>
      </c>
      <c r="D43" s="218">
        <v>42818</v>
      </c>
      <c r="E43" s="256">
        <f t="shared" si="0"/>
        <v>12803</v>
      </c>
      <c r="F43" s="264">
        <v>12803</v>
      </c>
      <c r="G43" s="222"/>
      <c r="H43" s="222"/>
      <c r="I43" s="222"/>
      <c r="J43" s="222"/>
      <c r="K43" s="222"/>
      <c r="L43" s="222"/>
    </row>
    <row r="44" spans="1:12">
      <c r="A44" s="220" t="s">
        <v>434</v>
      </c>
      <c r="B44" s="222">
        <v>101562447</v>
      </c>
      <c r="C44" s="222">
        <v>3197</v>
      </c>
      <c r="D44" s="218">
        <v>42930</v>
      </c>
      <c r="E44" s="256">
        <f t="shared" si="0"/>
        <v>12803</v>
      </c>
      <c r="F44" s="264">
        <v>12803</v>
      </c>
      <c r="G44" s="222"/>
      <c r="H44" s="222"/>
      <c r="I44" s="222"/>
      <c r="J44" s="222"/>
      <c r="K44" s="222"/>
      <c r="L44" s="222"/>
    </row>
    <row r="45" spans="1:12">
      <c r="A45" s="220" t="s">
        <v>434</v>
      </c>
      <c r="B45" s="222">
        <v>101562447</v>
      </c>
      <c r="C45" s="222">
        <v>3768</v>
      </c>
      <c r="D45" s="218">
        <v>43011</v>
      </c>
      <c r="E45" s="256">
        <f t="shared" si="0"/>
        <v>12803</v>
      </c>
      <c r="F45" s="264">
        <v>12803</v>
      </c>
      <c r="G45" s="222"/>
      <c r="H45" s="222"/>
      <c r="I45" s="222"/>
      <c r="J45" s="222"/>
      <c r="K45" s="222"/>
      <c r="L45" s="222"/>
    </row>
    <row r="46" spans="1:12">
      <c r="A46" s="214" t="s">
        <v>151</v>
      </c>
      <c r="B46" s="222">
        <v>122023224</v>
      </c>
      <c r="C46" s="214">
        <v>9646</v>
      </c>
      <c r="D46" s="212">
        <v>42947</v>
      </c>
      <c r="E46" s="256">
        <f t="shared" si="0"/>
        <v>82142.850000000006</v>
      </c>
      <c r="F46" s="263">
        <f>134451-52308.15</f>
        <v>82142.850000000006</v>
      </c>
      <c r="G46" s="222"/>
      <c r="H46" s="222"/>
      <c r="I46" s="222"/>
      <c r="J46" s="222"/>
      <c r="K46" s="222"/>
      <c r="L46" s="222"/>
    </row>
    <row r="47" spans="1:12">
      <c r="A47" s="214" t="s">
        <v>151</v>
      </c>
      <c r="B47" s="222">
        <v>122023224</v>
      </c>
      <c r="C47" s="214">
        <v>9766</v>
      </c>
      <c r="D47" s="212">
        <v>42964</v>
      </c>
      <c r="E47" s="256">
        <f t="shared" si="0"/>
        <v>197757</v>
      </c>
      <c r="F47" s="263">
        <v>197757</v>
      </c>
      <c r="G47" s="222"/>
      <c r="H47" s="222"/>
      <c r="I47" s="222"/>
      <c r="J47" s="222"/>
      <c r="K47" s="222"/>
      <c r="L47" s="222"/>
    </row>
    <row r="48" spans="1:12">
      <c r="A48" s="214" t="s">
        <v>151</v>
      </c>
      <c r="B48" s="222">
        <v>122023224</v>
      </c>
      <c r="C48" s="214">
        <v>9830</v>
      </c>
      <c r="D48" s="212">
        <v>42972</v>
      </c>
      <c r="E48" s="256">
        <f t="shared" si="0"/>
        <v>56687.4</v>
      </c>
      <c r="F48" s="263">
        <v>56687.4</v>
      </c>
      <c r="G48" s="222"/>
      <c r="H48" s="222"/>
      <c r="I48" s="222"/>
      <c r="J48" s="222"/>
      <c r="K48" s="222"/>
      <c r="L48" s="222"/>
    </row>
    <row r="49" spans="1:12">
      <c r="A49" s="214" t="s">
        <v>151</v>
      </c>
      <c r="B49" s="222">
        <v>122023224</v>
      </c>
      <c r="C49" s="214">
        <v>9909</v>
      </c>
      <c r="D49" s="212">
        <v>42989</v>
      </c>
      <c r="E49" s="256">
        <f t="shared" si="0"/>
        <v>175550</v>
      </c>
      <c r="F49" s="265">
        <v>175550</v>
      </c>
      <c r="G49" s="222"/>
      <c r="H49" s="222"/>
      <c r="I49" s="222"/>
      <c r="J49" s="222"/>
      <c r="K49" s="222"/>
      <c r="L49" s="222"/>
    </row>
    <row r="50" spans="1:12">
      <c r="A50" s="214" t="s">
        <v>151</v>
      </c>
      <c r="B50" s="222">
        <v>122023224</v>
      </c>
      <c r="C50" s="214">
        <v>10276</v>
      </c>
      <c r="D50" s="212">
        <v>43048</v>
      </c>
      <c r="E50" s="256">
        <f t="shared" si="0"/>
        <v>113106</v>
      </c>
      <c r="F50" s="265">
        <v>113106</v>
      </c>
      <c r="G50" s="222"/>
      <c r="H50" s="222"/>
      <c r="I50" s="222"/>
      <c r="J50" s="222"/>
      <c r="K50" s="222"/>
      <c r="L50" s="222"/>
    </row>
    <row r="51" spans="1:12">
      <c r="A51" s="220" t="s">
        <v>435</v>
      </c>
      <c r="B51" s="222">
        <v>115060873</v>
      </c>
      <c r="C51" s="220">
        <v>239</v>
      </c>
      <c r="D51" s="212">
        <v>43099</v>
      </c>
      <c r="E51" s="256">
        <f t="shared" si="0"/>
        <v>7390</v>
      </c>
      <c r="F51" s="260">
        <v>7390</v>
      </c>
      <c r="G51" s="222"/>
      <c r="H51" s="222"/>
      <c r="I51" s="222"/>
      <c r="J51" s="222"/>
      <c r="K51" s="222"/>
      <c r="L51" s="222"/>
    </row>
    <row r="52" spans="1:12">
      <c r="A52" s="220" t="s">
        <v>435</v>
      </c>
      <c r="B52" s="222">
        <v>115060873</v>
      </c>
      <c r="C52" s="220">
        <v>240</v>
      </c>
      <c r="D52" s="212">
        <v>43131</v>
      </c>
      <c r="E52" s="256">
        <f t="shared" si="0"/>
        <v>11415</v>
      </c>
      <c r="F52" s="260">
        <v>11415</v>
      </c>
      <c r="G52" s="222"/>
      <c r="H52" s="222"/>
      <c r="I52" s="222"/>
      <c r="J52" s="222"/>
      <c r="K52" s="222"/>
      <c r="L52" s="222"/>
    </row>
    <row r="53" spans="1:12">
      <c r="A53" s="220" t="s">
        <v>435</v>
      </c>
      <c r="B53" s="222">
        <v>115060873</v>
      </c>
      <c r="C53" s="220">
        <v>245</v>
      </c>
      <c r="D53" s="212">
        <v>43160</v>
      </c>
      <c r="E53" s="256">
        <f t="shared" si="0"/>
        <v>8715</v>
      </c>
      <c r="F53" s="260">
        <v>8715</v>
      </c>
      <c r="G53" s="222"/>
      <c r="H53" s="222"/>
      <c r="I53" s="222"/>
      <c r="J53" s="222"/>
      <c r="K53" s="222"/>
      <c r="L53" s="222"/>
    </row>
    <row r="54" spans="1:12">
      <c r="A54" s="220" t="s">
        <v>435</v>
      </c>
      <c r="B54" s="222">
        <v>115060873</v>
      </c>
      <c r="C54" s="220">
        <v>250</v>
      </c>
      <c r="D54" s="212">
        <v>43201</v>
      </c>
      <c r="E54" s="256">
        <f t="shared" si="0"/>
        <v>5110</v>
      </c>
      <c r="F54" s="260">
        <v>5110</v>
      </c>
      <c r="G54" s="222"/>
      <c r="H54" s="222"/>
      <c r="I54" s="222"/>
      <c r="J54" s="222"/>
      <c r="K54" s="222"/>
      <c r="L54" s="222"/>
    </row>
    <row r="55" spans="1:12">
      <c r="A55" s="214" t="s">
        <v>155</v>
      </c>
      <c r="B55" s="222">
        <v>4900038870</v>
      </c>
      <c r="C55" s="214">
        <v>59441</v>
      </c>
      <c r="D55" s="212">
        <v>42922</v>
      </c>
      <c r="E55" s="256">
        <f t="shared" si="0"/>
        <v>18230</v>
      </c>
      <c r="F55" s="266">
        <v>18230</v>
      </c>
      <c r="G55" s="222"/>
      <c r="H55" s="222"/>
      <c r="I55" s="222"/>
      <c r="J55" s="222"/>
      <c r="K55" s="222"/>
      <c r="L55" s="222"/>
    </row>
    <row r="56" spans="1:12">
      <c r="A56" s="214" t="s">
        <v>155</v>
      </c>
      <c r="B56" s="222">
        <v>4900038870</v>
      </c>
      <c r="C56" s="214">
        <v>59446</v>
      </c>
      <c r="D56" s="212">
        <v>42926</v>
      </c>
      <c r="E56" s="256">
        <f t="shared" si="0"/>
        <v>23210</v>
      </c>
      <c r="F56" s="266">
        <v>23210</v>
      </c>
      <c r="G56" s="222"/>
      <c r="H56" s="222"/>
      <c r="I56" s="222"/>
      <c r="J56" s="222"/>
      <c r="K56" s="222"/>
      <c r="L56" s="222"/>
    </row>
    <row r="57" spans="1:12">
      <c r="A57" s="214" t="s">
        <v>155</v>
      </c>
      <c r="B57" s="222">
        <v>4900038870</v>
      </c>
      <c r="C57" s="214">
        <v>59454</v>
      </c>
      <c r="D57" s="212">
        <v>42930</v>
      </c>
      <c r="E57" s="256">
        <f t="shared" si="0"/>
        <v>3425</v>
      </c>
      <c r="F57" s="266">
        <v>3425</v>
      </c>
      <c r="G57" s="222"/>
      <c r="H57" s="222"/>
      <c r="I57" s="222"/>
      <c r="J57" s="222"/>
      <c r="K57" s="222"/>
      <c r="L57" s="222"/>
    </row>
    <row r="58" spans="1:12">
      <c r="A58" s="214" t="s">
        <v>155</v>
      </c>
      <c r="B58" s="222">
        <v>4900038870</v>
      </c>
      <c r="C58" s="214">
        <v>59463</v>
      </c>
      <c r="D58" s="212">
        <v>42935</v>
      </c>
      <c r="E58" s="256">
        <f t="shared" si="0"/>
        <v>350</v>
      </c>
      <c r="F58" s="266">
        <v>350</v>
      </c>
      <c r="G58" s="222"/>
      <c r="H58" s="222"/>
      <c r="I58" s="222"/>
      <c r="J58" s="222"/>
      <c r="K58" s="222"/>
      <c r="L58" s="222"/>
    </row>
    <row r="59" spans="1:12">
      <c r="A59" s="214" t="s">
        <v>436</v>
      </c>
      <c r="B59" s="222">
        <v>131421709</v>
      </c>
      <c r="C59" s="214">
        <v>1554</v>
      </c>
      <c r="D59" s="212">
        <v>43563</v>
      </c>
      <c r="E59" s="256">
        <f t="shared" si="0"/>
        <v>42267.09</v>
      </c>
      <c r="F59" s="263">
        <f>86923.9-44656.81</f>
        <v>42267.09</v>
      </c>
      <c r="G59" s="222"/>
      <c r="H59" s="222"/>
      <c r="I59" s="222"/>
      <c r="J59" s="222"/>
      <c r="K59" s="222"/>
      <c r="L59" s="222"/>
    </row>
    <row r="60" spans="1:12">
      <c r="A60" s="214" t="s">
        <v>436</v>
      </c>
      <c r="B60" s="222">
        <v>131421709</v>
      </c>
      <c r="C60" s="214">
        <v>433</v>
      </c>
      <c r="D60" s="212">
        <v>43649</v>
      </c>
      <c r="E60" s="256">
        <f t="shared" si="0"/>
        <v>43718.76</v>
      </c>
      <c r="F60" s="263">
        <v>43718.76</v>
      </c>
      <c r="G60" s="222"/>
      <c r="H60" s="222"/>
      <c r="I60" s="222"/>
      <c r="J60" s="222"/>
      <c r="K60" s="222"/>
      <c r="L60" s="222"/>
    </row>
    <row r="61" spans="1:12">
      <c r="A61" s="214" t="s">
        <v>436</v>
      </c>
      <c r="B61" s="222">
        <v>131421709</v>
      </c>
      <c r="C61" s="214">
        <v>4833</v>
      </c>
      <c r="D61" s="212">
        <v>43499</v>
      </c>
      <c r="E61" s="256">
        <f t="shared" si="0"/>
        <v>36825.46</v>
      </c>
      <c r="F61" s="263">
        <v>36825.46</v>
      </c>
      <c r="G61" s="222"/>
      <c r="H61" s="222"/>
      <c r="I61" s="222"/>
      <c r="J61" s="222"/>
      <c r="K61" s="222"/>
      <c r="L61" s="222"/>
    </row>
    <row r="62" spans="1:12">
      <c r="A62" s="214" t="s">
        <v>436</v>
      </c>
      <c r="B62" s="222">
        <v>131421709</v>
      </c>
      <c r="C62" s="214">
        <v>1159</v>
      </c>
      <c r="D62" s="212">
        <v>43690</v>
      </c>
      <c r="E62" s="256">
        <f t="shared" si="0"/>
        <v>25156.94</v>
      </c>
      <c r="F62" s="263">
        <v>25156.94</v>
      </c>
      <c r="G62" s="222"/>
      <c r="H62" s="222"/>
      <c r="I62" s="222"/>
      <c r="J62" s="222"/>
      <c r="K62" s="222"/>
      <c r="L62" s="222"/>
    </row>
    <row r="63" spans="1:12">
      <c r="A63" s="214" t="s">
        <v>437</v>
      </c>
      <c r="B63" s="222">
        <v>130405719</v>
      </c>
      <c r="C63" s="214">
        <v>40682</v>
      </c>
      <c r="D63" s="226">
        <v>43381</v>
      </c>
      <c r="E63" s="256">
        <f t="shared" si="0"/>
        <v>27669</v>
      </c>
      <c r="F63" s="263">
        <v>27669</v>
      </c>
      <c r="G63" s="222"/>
      <c r="H63" s="222"/>
      <c r="I63" s="222"/>
      <c r="J63" s="222"/>
      <c r="K63" s="222"/>
      <c r="L63" s="222"/>
    </row>
    <row r="64" spans="1:12">
      <c r="A64" s="214" t="s">
        <v>437</v>
      </c>
      <c r="B64" s="222">
        <v>130405719</v>
      </c>
      <c r="C64" s="214">
        <v>41752</v>
      </c>
      <c r="D64" s="226">
        <v>43395</v>
      </c>
      <c r="E64" s="256">
        <f t="shared" si="0"/>
        <v>26834.28</v>
      </c>
      <c r="F64" s="263">
        <v>26834.28</v>
      </c>
      <c r="G64" s="222"/>
      <c r="H64" s="222"/>
      <c r="I64" s="222"/>
      <c r="J64" s="222"/>
      <c r="K64" s="222"/>
      <c r="L64" s="222"/>
    </row>
    <row r="65" spans="1:12">
      <c r="A65" s="214" t="s">
        <v>437</v>
      </c>
      <c r="B65" s="222">
        <v>130405719</v>
      </c>
      <c r="C65" s="214">
        <v>42316</v>
      </c>
      <c r="D65" s="226">
        <v>43441</v>
      </c>
      <c r="E65" s="256">
        <f t="shared" si="0"/>
        <v>5380</v>
      </c>
      <c r="F65" s="263">
        <v>5380</v>
      </c>
      <c r="G65" s="222"/>
      <c r="H65" s="222"/>
      <c r="I65" s="222"/>
      <c r="J65" s="222"/>
      <c r="K65" s="222"/>
      <c r="L65" s="222"/>
    </row>
    <row r="66" spans="1:12">
      <c r="A66" s="214" t="s">
        <v>161</v>
      </c>
      <c r="B66" s="222">
        <v>1317391604</v>
      </c>
      <c r="C66" s="214">
        <v>19</v>
      </c>
      <c r="D66" s="212">
        <v>43405</v>
      </c>
      <c r="E66" s="256">
        <f t="shared" si="0"/>
        <v>135016.78</v>
      </c>
      <c r="F66" s="263">
        <v>135016.78</v>
      </c>
      <c r="G66" s="222"/>
      <c r="H66" s="222"/>
      <c r="I66" s="222"/>
      <c r="J66" s="222"/>
      <c r="K66" s="222"/>
      <c r="L66" s="222"/>
    </row>
    <row r="67" spans="1:12">
      <c r="A67" s="220" t="s">
        <v>438</v>
      </c>
      <c r="B67" s="222">
        <v>4900002769</v>
      </c>
      <c r="C67" s="220">
        <v>97</v>
      </c>
      <c r="D67" s="212">
        <v>43213</v>
      </c>
      <c r="E67" s="256">
        <f t="shared" si="0"/>
        <v>1000</v>
      </c>
      <c r="F67" s="266">
        <v>1000</v>
      </c>
      <c r="G67" s="222"/>
      <c r="H67" s="222"/>
      <c r="I67" s="222"/>
      <c r="J67" s="222"/>
      <c r="K67" s="222"/>
      <c r="L67" s="222"/>
    </row>
    <row r="68" spans="1:12">
      <c r="A68" s="220" t="s">
        <v>438</v>
      </c>
      <c r="B68" s="222">
        <v>4900002769</v>
      </c>
      <c r="C68" s="220">
        <v>17</v>
      </c>
      <c r="D68" s="212">
        <v>43227</v>
      </c>
      <c r="E68" s="256">
        <f t="shared" si="0"/>
        <v>400</v>
      </c>
      <c r="F68" s="266">
        <v>400</v>
      </c>
      <c r="G68" s="222"/>
      <c r="H68" s="222"/>
      <c r="I68" s="222"/>
      <c r="J68" s="222"/>
      <c r="K68" s="222"/>
      <c r="L68" s="222"/>
    </row>
    <row r="69" spans="1:12">
      <c r="A69" s="220" t="s">
        <v>165</v>
      </c>
      <c r="B69" s="222">
        <v>131810926</v>
      </c>
      <c r="C69" s="220">
        <v>17</v>
      </c>
      <c r="D69" s="212">
        <v>43598</v>
      </c>
      <c r="E69" s="256">
        <f t="shared" si="0"/>
        <v>44000</v>
      </c>
      <c r="F69" s="260">
        <f>84000-40000</f>
        <v>44000</v>
      </c>
      <c r="G69" s="222"/>
      <c r="H69" s="222"/>
      <c r="I69" s="222"/>
      <c r="J69" s="222"/>
      <c r="K69" s="222"/>
      <c r="L69" s="222"/>
    </row>
    <row r="70" spans="1:12">
      <c r="A70" s="220" t="s">
        <v>439</v>
      </c>
      <c r="B70" s="222">
        <v>4900340748</v>
      </c>
      <c r="C70" s="220"/>
      <c r="D70" s="212">
        <v>44175</v>
      </c>
      <c r="E70" s="256">
        <f t="shared" si="0"/>
        <v>22840</v>
      </c>
      <c r="F70" s="260">
        <f>51330-28490</f>
        <v>22840</v>
      </c>
      <c r="G70" s="222"/>
      <c r="H70" s="222"/>
      <c r="I70" s="222"/>
      <c r="J70" s="222"/>
      <c r="K70" s="222"/>
      <c r="L70" s="222"/>
    </row>
    <row r="71" spans="1:12">
      <c r="A71" s="220" t="s">
        <v>169</v>
      </c>
      <c r="B71" s="222">
        <v>131629636</v>
      </c>
      <c r="C71" s="220">
        <v>948909</v>
      </c>
      <c r="D71" s="212">
        <v>43771</v>
      </c>
      <c r="E71" s="256">
        <f t="shared" si="0"/>
        <v>5664</v>
      </c>
      <c r="F71" s="260">
        <v>5664</v>
      </c>
      <c r="G71" s="222"/>
      <c r="H71" s="222"/>
      <c r="I71" s="222"/>
      <c r="J71" s="222"/>
      <c r="K71" s="222"/>
      <c r="L71" s="222"/>
    </row>
    <row r="72" spans="1:12">
      <c r="A72" s="214" t="s">
        <v>441</v>
      </c>
      <c r="B72" s="222">
        <v>4900821341</v>
      </c>
      <c r="C72" s="214" t="s">
        <v>440</v>
      </c>
      <c r="D72" s="212">
        <v>43769</v>
      </c>
      <c r="E72" s="256">
        <f t="shared" si="0"/>
        <v>21697</v>
      </c>
      <c r="F72" s="265">
        <v>21697</v>
      </c>
      <c r="G72" s="222"/>
      <c r="H72" s="222"/>
      <c r="I72" s="222"/>
      <c r="J72" s="222"/>
      <c r="K72" s="222"/>
      <c r="L72" s="222"/>
    </row>
    <row r="73" spans="1:12">
      <c r="A73" s="214" t="s">
        <v>441</v>
      </c>
      <c r="B73" s="222">
        <v>4900821341</v>
      </c>
      <c r="C73" s="214" t="s">
        <v>442</v>
      </c>
      <c r="D73" s="212">
        <v>43774</v>
      </c>
      <c r="E73" s="256">
        <f t="shared" ref="E73:E143" si="1">SUM(F73:J73)</f>
        <v>19482</v>
      </c>
      <c r="F73" s="265">
        <v>19482</v>
      </c>
      <c r="G73" s="222"/>
      <c r="H73" s="222"/>
      <c r="I73" s="222"/>
      <c r="J73" s="222"/>
      <c r="K73" s="222"/>
      <c r="L73" s="222"/>
    </row>
    <row r="74" spans="1:12">
      <c r="A74" s="214" t="s">
        <v>441</v>
      </c>
      <c r="B74" s="222">
        <v>4900821341</v>
      </c>
      <c r="C74" s="214" t="s">
        <v>443</v>
      </c>
      <c r="D74" s="212">
        <v>43776</v>
      </c>
      <c r="E74" s="256">
        <f t="shared" si="1"/>
        <v>20392</v>
      </c>
      <c r="F74" s="265">
        <v>20392</v>
      </c>
      <c r="G74" s="222"/>
      <c r="H74" s="222"/>
      <c r="I74" s="222"/>
      <c r="J74" s="222"/>
      <c r="K74" s="222"/>
      <c r="L74" s="222"/>
    </row>
    <row r="75" spans="1:12">
      <c r="A75" s="214" t="s">
        <v>441</v>
      </c>
      <c r="B75" s="222">
        <v>4900821341</v>
      </c>
      <c r="C75" s="214" t="s">
        <v>444</v>
      </c>
      <c r="D75" s="212">
        <v>43780</v>
      </c>
      <c r="E75" s="256">
        <f t="shared" si="1"/>
        <v>19787</v>
      </c>
      <c r="F75" s="265">
        <v>19787</v>
      </c>
      <c r="G75" s="222"/>
      <c r="H75" s="222"/>
      <c r="I75" s="222"/>
      <c r="J75" s="222"/>
      <c r="K75" s="222"/>
      <c r="L75" s="222"/>
    </row>
    <row r="76" spans="1:12">
      <c r="A76" s="214" t="s">
        <v>441</v>
      </c>
      <c r="B76" s="222">
        <v>4900821341</v>
      </c>
      <c r="C76" s="214" t="s">
        <v>445</v>
      </c>
      <c r="D76" s="212">
        <v>43787</v>
      </c>
      <c r="E76" s="256">
        <f t="shared" si="1"/>
        <v>20965</v>
      </c>
      <c r="F76" s="265">
        <v>20965</v>
      </c>
      <c r="G76" s="222"/>
      <c r="H76" s="222"/>
      <c r="I76" s="222"/>
      <c r="J76" s="222"/>
      <c r="K76" s="222"/>
      <c r="L76" s="222"/>
    </row>
    <row r="77" spans="1:12">
      <c r="A77" s="214" t="s">
        <v>441</v>
      </c>
      <c r="B77" s="222">
        <v>4900821341</v>
      </c>
      <c r="C77" s="214" t="s">
        <v>446</v>
      </c>
      <c r="D77" s="212">
        <v>43783</v>
      </c>
      <c r="E77" s="256">
        <f t="shared" si="1"/>
        <v>17877</v>
      </c>
      <c r="F77" s="265">
        <v>17877</v>
      </c>
      <c r="G77" s="222"/>
      <c r="H77" s="222"/>
      <c r="I77" s="222"/>
      <c r="J77" s="222"/>
      <c r="K77" s="222"/>
      <c r="L77" s="222"/>
    </row>
    <row r="78" spans="1:12">
      <c r="A78" s="220" t="s">
        <v>172</v>
      </c>
      <c r="B78" s="222">
        <v>130691495</v>
      </c>
      <c r="C78" s="220">
        <v>429273</v>
      </c>
      <c r="D78" s="212">
        <v>43008</v>
      </c>
      <c r="E78" s="256">
        <f t="shared" si="1"/>
        <v>3530</v>
      </c>
      <c r="F78" s="266">
        <f>4160-630</f>
        <v>3530</v>
      </c>
      <c r="G78" s="222"/>
      <c r="H78" s="222"/>
      <c r="I78" s="222"/>
      <c r="J78" s="222"/>
      <c r="K78" s="222"/>
      <c r="L78" s="222"/>
    </row>
    <row r="79" spans="1:12">
      <c r="A79" s="220" t="s">
        <v>172</v>
      </c>
      <c r="B79" s="222">
        <v>130691495</v>
      </c>
      <c r="C79" s="220">
        <v>429956</v>
      </c>
      <c r="D79" s="212">
        <v>42895</v>
      </c>
      <c r="E79" s="256">
        <f t="shared" si="1"/>
        <v>4160</v>
      </c>
      <c r="F79" s="266">
        <f>4160</f>
        <v>4160</v>
      </c>
      <c r="G79" s="222"/>
      <c r="H79" s="222"/>
      <c r="I79" s="222"/>
      <c r="J79" s="222"/>
      <c r="K79" s="222"/>
      <c r="L79" s="222"/>
    </row>
    <row r="80" spans="1:12">
      <c r="A80" s="220" t="s">
        <v>172</v>
      </c>
      <c r="B80" s="222">
        <v>130691495</v>
      </c>
      <c r="C80" s="220">
        <v>430962</v>
      </c>
      <c r="D80" s="212">
        <v>42907</v>
      </c>
      <c r="E80" s="256">
        <f t="shared" si="1"/>
        <v>4160</v>
      </c>
      <c r="F80" s="266">
        <v>4160</v>
      </c>
      <c r="G80" s="222"/>
      <c r="H80" s="222"/>
      <c r="I80" s="222"/>
      <c r="J80" s="222"/>
      <c r="K80" s="222"/>
      <c r="L80" s="222"/>
    </row>
    <row r="81" spans="1:12">
      <c r="A81" s="220" t="s">
        <v>172</v>
      </c>
      <c r="B81" s="222">
        <v>130691495</v>
      </c>
      <c r="C81" s="220">
        <v>431856</v>
      </c>
      <c r="D81" s="212">
        <v>42915</v>
      </c>
      <c r="E81" s="256">
        <f t="shared" si="1"/>
        <v>4160</v>
      </c>
      <c r="F81" s="266">
        <v>4160</v>
      </c>
      <c r="G81" s="222"/>
      <c r="H81" s="222"/>
      <c r="I81" s="222"/>
      <c r="J81" s="222"/>
      <c r="K81" s="222"/>
      <c r="L81" s="222"/>
    </row>
    <row r="82" spans="1:12">
      <c r="A82" s="220" t="s">
        <v>172</v>
      </c>
      <c r="B82" s="222">
        <v>130691495</v>
      </c>
      <c r="C82" s="220">
        <v>432684</v>
      </c>
      <c r="D82" s="212">
        <v>42923</v>
      </c>
      <c r="E82" s="256">
        <f t="shared" si="1"/>
        <v>4160</v>
      </c>
      <c r="F82" s="266">
        <v>4160</v>
      </c>
      <c r="G82" s="222"/>
      <c r="H82" s="222"/>
      <c r="I82" s="222"/>
      <c r="J82" s="222"/>
      <c r="K82" s="222"/>
      <c r="L82" s="222"/>
    </row>
    <row r="83" spans="1:12">
      <c r="A83" s="220" t="s">
        <v>172</v>
      </c>
      <c r="B83" s="222">
        <v>130691495</v>
      </c>
      <c r="C83" s="220">
        <v>433587</v>
      </c>
      <c r="D83" s="212">
        <v>42930</v>
      </c>
      <c r="E83" s="256">
        <f t="shared" si="1"/>
        <v>4160</v>
      </c>
      <c r="F83" s="266">
        <v>4160</v>
      </c>
      <c r="G83" s="222"/>
      <c r="H83" s="222"/>
      <c r="I83" s="222"/>
      <c r="J83" s="222"/>
      <c r="K83" s="222"/>
      <c r="L83" s="222"/>
    </row>
    <row r="84" spans="1:12">
      <c r="A84" s="220" t="s">
        <v>172</v>
      </c>
      <c r="B84" s="222">
        <v>130691495</v>
      </c>
      <c r="C84" s="220">
        <v>434613</v>
      </c>
      <c r="D84" s="212">
        <v>42940</v>
      </c>
      <c r="E84" s="256">
        <f t="shared" si="1"/>
        <v>4160</v>
      </c>
      <c r="F84" s="266">
        <v>4160</v>
      </c>
      <c r="G84" s="222"/>
      <c r="H84" s="222"/>
      <c r="I84" s="222"/>
      <c r="J84" s="222"/>
      <c r="K84" s="222"/>
      <c r="L84" s="222"/>
    </row>
    <row r="85" spans="1:12">
      <c r="A85" s="220" t="s">
        <v>172</v>
      </c>
      <c r="B85" s="222">
        <v>130691495</v>
      </c>
      <c r="C85" s="220">
        <v>435571</v>
      </c>
      <c r="D85" s="212">
        <v>42948</v>
      </c>
      <c r="E85" s="256">
        <f t="shared" si="1"/>
        <v>4160</v>
      </c>
      <c r="F85" s="266">
        <v>4160</v>
      </c>
      <c r="G85" s="222"/>
      <c r="H85" s="222"/>
      <c r="I85" s="222"/>
      <c r="J85" s="222"/>
      <c r="K85" s="222"/>
      <c r="L85" s="222"/>
    </row>
    <row r="86" spans="1:12">
      <c r="A86" s="220" t="s">
        <v>172</v>
      </c>
      <c r="B86" s="222">
        <v>130691495</v>
      </c>
      <c r="C86" s="220">
        <v>436602</v>
      </c>
      <c r="D86" s="212">
        <v>42956</v>
      </c>
      <c r="E86" s="256">
        <f t="shared" si="1"/>
        <v>4160</v>
      </c>
      <c r="F86" s="266">
        <v>4160</v>
      </c>
      <c r="G86" s="222"/>
      <c r="H86" s="222"/>
      <c r="I86" s="222"/>
      <c r="J86" s="222"/>
      <c r="K86" s="222"/>
      <c r="L86" s="222"/>
    </row>
    <row r="87" spans="1:12">
      <c r="A87" s="220" t="s">
        <v>172</v>
      </c>
      <c r="B87" s="222">
        <v>130691495</v>
      </c>
      <c r="C87" s="220">
        <v>437615</v>
      </c>
      <c r="D87" s="212">
        <v>42964</v>
      </c>
      <c r="E87" s="256">
        <f t="shared" si="1"/>
        <v>4160</v>
      </c>
      <c r="F87" s="266">
        <v>4160</v>
      </c>
      <c r="G87" s="222"/>
      <c r="H87" s="222"/>
      <c r="I87" s="222"/>
      <c r="J87" s="222"/>
      <c r="K87" s="222"/>
      <c r="L87" s="222"/>
    </row>
    <row r="88" spans="1:12">
      <c r="A88" s="220" t="s">
        <v>172</v>
      </c>
      <c r="B88" s="222">
        <v>130691495</v>
      </c>
      <c r="C88" s="220">
        <v>438668</v>
      </c>
      <c r="D88" s="212">
        <v>42972</v>
      </c>
      <c r="E88" s="256">
        <f t="shared" si="1"/>
        <v>4160</v>
      </c>
      <c r="F88" s="266">
        <v>4160</v>
      </c>
      <c r="G88" s="222"/>
      <c r="H88" s="222"/>
      <c r="I88" s="222"/>
      <c r="J88" s="222"/>
      <c r="K88" s="222"/>
      <c r="L88" s="222"/>
    </row>
    <row r="89" spans="1:12">
      <c r="A89" s="220" t="s">
        <v>172</v>
      </c>
      <c r="B89" s="222">
        <v>130691495</v>
      </c>
      <c r="C89" s="220">
        <v>439506</v>
      </c>
      <c r="D89" s="212">
        <v>42979</v>
      </c>
      <c r="E89" s="256">
        <f t="shared" si="1"/>
        <v>4160</v>
      </c>
      <c r="F89" s="266">
        <v>4160</v>
      </c>
      <c r="G89" s="222"/>
      <c r="H89" s="222"/>
      <c r="I89" s="222"/>
      <c r="J89" s="222"/>
      <c r="K89" s="222"/>
      <c r="L89" s="222"/>
    </row>
    <row r="90" spans="1:12">
      <c r="A90" s="220" t="s">
        <v>172</v>
      </c>
      <c r="B90" s="222">
        <v>130691495</v>
      </c>
      <c r="C90" s="220">
        <v>415365</v>
      </c>
      <c r="D90" s="212">
        <v>43078</v>
      </c>
      <c r="E90" s="256">
        <f t="shared" si="1"/>
        <v>4160</v>
      </c>
      <c r="F90" s="266">
        <v>4160</v>
      </c>
      <c r="G90" s="222"/>
      <c r="H90" s="222"/>
      <c r="I90" s="222"/>
      <c r="J90" s="222"/>
      <c r="K90" s="222"/>
      <c r="L90" s="222"/>
    </row>
    <row r="91" spans="1:12">
      <c r="A91" s="220" t="s">
        <v>172</v>
      </c>
      <c r="B91" s="222">
        <v>130691495</v>
      </c>
      <c r="C91" s="220">
        <v>514817</v>
      </c>
      <c r="D91" s="212">
        <v>43560</v>
      </c>
      <c r="E91" s="256">
        <f t="shared" si="1"/>
        <v>2080</v>
      </c>
      <c r="F91" s="266">
        <v>2080</v>
      </c>
      <c r="G91" s="222"/>
      <c r="H91" s="222"/>
      <c r="I91" s="222"/>
      <c r="J91" s="222"/>
      <c r="K91" s="222"/>
      <c r="L91" s="222"/>
    </row>
    <row r="92" spans="1:12">
      <c r="A92" s="214" t="s">
        <v>448</v>
      </c>
      <c r="B92" s="222">
        <v>130493154</v>
      </c>
      <c r="C92" s="214" t="s">
        <v>447</v>
      </c>
      <c r="D92" s="226">
        <v>44691</v>
      </c>
      <c r="E92" s="256">
        <f t="shared" si="1"/>
        <v>16660.72</v>
      </c>
      <c r="F92" s="267">
        <v>16660.72</v>
      </c>
      <c r="G92" s="222"/>
      <c r="H92" s="222"/>
      <c r="I92" s="222"/>
      <c r="J92" s="222"/>
      <c r="K92" s="222"/>
      <c r="L92" s="222"/>
    </row>
    <row r="93" spans="1:12">
      <c r="A93" s="214" t="s">
        <v>448</v>
      </c>
      <c r="B93" s="222">
        <v>130493154</v>
      </c>
      <c r="C93" s="214" t="s">
        <v>449</v>
      </c>
      <c r="D93" s="226">
        <v>44698</v>
      </c>
      <c r="E93" s="256">
        <f t="shared" si="1"/>
        <v>33321.440000000002</v>
      </c>
      <c r="F93" s="267">
        <v>33321.440000000002</v>
      </c>
      <c r="G93" s="222"/>
      <c r="H93" s="222"/>
      <c r="I93" s="222"/>
      <c r="J93" s="222"/>
      <c r="K93" s="222"/>
      <c r="L93" s="222"/>
    </row>
    <row r="94" spans="1:12">
      <c r="A94" s="214" t="s">
        <v>448</v>
      </c>
      <c r="B94" s="222">
        <v>130493154</v>
      </c>
      <c r="C94" s="222" t="s">
        <v>450</v>
      </c>
      <c r="D94" s="218">
        <v>45535</v>
      </c>
      <c r="E94" s="256">
        <f t="shared" si="1"/>
        <v>19588.27</v>
      </c>
      <c r="F94" s="264">
        <v>19588.27</v>
      </c>
      <c r="G94" s="222"/>
      <c r="H94" s="222"/>
      <c r="I94" s="222"/>
      <c r="J94" s="222"/>
      <c r="K94" s="222"/>
      <c r="L94" s="222"/>
    </row>
    <row r="95" spans="1:12">
      <c r="A95" s="214" t="s">
        <v>448</v>
      </c>
      <c r="B95" s="222">
        <v>130493154</v>
      </c>
      <c r="C95" s="214" t="s">
        <v>451</v>
      </c>
      <c r="D95" s="226">
        <v>44875</v>
      </c>
      <c r="E95" s="256">
        <f t="shared" si="1"/>
        <v>41058.269999999997</v>
      </c>
      <c r="F95" s="263">
        <v>41058.269999999997</v>
      </c>
      <c r="G95" s="222"/>
      <c r="H95" s="222"/>
      <c r="I95" s="222"/>
      <c r="J95" s="222"/>
      <c r="K95" s="222"/>
      <c r="L95" s="222"/>
    </row>
    <row r="96" spans="1:12">
      <c r="A96" s="220" t="s">
        <v>448</v>
      </c>
      <c r="B96" s="222">
        <v>130493154</v>
      </c>
      <c r="C96" s="220" t="s">
        <v>452</v>
      </c>
      <c r="D96" s="212">
        <v>44930</v>
      </c>
      <c r="E96" s="256">
        <f t="shared" si="1"/>
        <v>0</v>
      </c>
      <c r="F96" s="263">
        <f>20529.13-20529.13</f>
        <v>0</v>
      </c>
      <c r="G96" s="222"/>
      <c r="H96" s="222"/>
      <c r="I96" s="222"/>
      <c r="J96" s="222"/>
      <c r="K96" s="222"/>
      <c r="L96" s="222"/>
    </row>
    <row r="97" spans="1:12">
      <c r="A97" s="214" t="s">
        <v>448</v>
      </c>
      <c r="B97" s="222">
        <v>130493154</v>
      </c>
      <c r="C97" s="220" t="s">
        <v>453</v>
      </c>
      <c r="D97" s="212">
        <v>45295</v>
      </c>
      <c r="E97" s="256">
        <f t="shared" si="1"/>
        <v>0</v>
      </c>
      <c r="F97" s="263">
        <f>20529.13-20529.13</f>
        <v>0</v>
      </c>
      <c r="G97" s="222"/>
      <c r="H97" s="222"/>
      <c r="I97" s="222"/>
      <c r="J97" s="222"/>
      <c r="K97" s="222"/>
      <c r="L97" s="222"/>
    </row>
    <row r="98" spans="1:12">
      <c r="A98" s="214" t="s">
        <v>448</v>
      </c>
      <c r="B98" s="222">
        <v>130493154</v>
      </c>
      <c r="C98" s="220" t="s">
        <v>454</v>
      </c>
      <c r="D98" s="212">
        <v>44930</v>
      </c>
      <c r="E98" s="256">
        <f t="shared" si="1"/>
        <v>20529.13</v>
      </c>
      <c r="F98" s="263">
        <v>20529.13</v>
      </c>
      <c r="G98" s="222"/>
      <c r="H98" s="222"/>
      <c r="I98" s="222"/>
      <c r="J98" s="222"/>
      <c r="K98" s="222"/>
      <c r="L98" s="222"/>
    </row>
    <row r="99" spans="1:12">
      <c r="A99" s="214" t="s">
        <v>448</v>
      </c>
      <c r="B99" s="222">
        <v>130493154</v>
      </c>
      <c r="C99" s="220" t="s">
        <v>455</v>
      </c>
      <c r="D99" s="212">
        <v>45295</v>
      </c>
      <c r="E99" s="256">
        <f t="shared" si="1"/>
        <v>20529.13</v>
      </c>
      <c r="F99" s="263">
        <v>20529.13</v>
      </c>
      <c r="G99" s="222"/>
      <c r="H99" s="222"/>
      <c r="I99" s="222"/>
      <c r="J99" s="222"/>
      <c r="K99" s="222"/>
      <c r="L99" s="222"/>
    </row>
    <row r="100" spans="1:12">
      <c r="A100" s="214" t="s">
        <v>448</v>
      </c>
      <c r="B100" s="222">
        <v>130493154</v>
      </c>
      <c r="C100" s="220" t="s">
        <v>456</v>
      </c>
      <c r="D100" s="212">
        <v>45297</v>
      </c>
      <c r="E100" s="256">
        <f t="shared" si="1"/>
        <v>20529.13</v>
      </c>
      <c r="F100" s="263">
        <v>20529.13</v>
      </c>
      <c r="G100" s="222"/>
      <c r="H100" s="222"/>
      <c r="I100" s="222"/>
      <c r="J100" s="222"/>
      <c r="K100" s="222"/>
      <c r="L100" s="222"/>
    </row>
    <row r="101" spans="1:12">
      <c r="A101" s="220" t="s">
        <v>448</v>
      </c>
      <c r="B101" s="222">
        <v>130493154</v>
      </c>
      <c r="C101" s="220" t="s">
        <v>459</v>
      </c>
      <c r="D101" s="218">
        <v>44973</v>
      </c>
      <c r="E101" s="256">
        <f t="shared" si="1"/>
        <v>41058.269999999997</v>
      </c>
      <c r="F101" s="263">
        <v>41058.269999999997</v>
      </c>
      <c r="G101" s="222"/>
      <c r="H101" s="222"/>
      <c r="I101" s="222"/>
      <c r="J101" s="222"/>
      <c r="K101" s="222"/>
      <c r="L101" s="222"/>
    </row>
    <row r="102" spans="1:12">
      <c r="A102" s="220" t="s">
        <v>448</v>
      </c>
      <c r="B102" s="222">
        <v>130493154</v>
      </c>
      <c r="C102" s="220" t="s">
        <v>458</v>
      </c>
      <c r="D102" s="218">
        <v>44967</v>
      </c>
      <c r="E102" s="256">
        <f t="shared" si="1"/>
        <v>0</v>
      </c>
      <c r="F102" s="263">
        <f>22638.26-22638.26</f>
        <v>0</v>
      </c>
      <c r="G102" s="222"/>
      <c r="H102" s="222"/>
      <c r="I102" s="222"/>
      <c r="J102" s="222"/>
      <c r="K102" s="222"/>
      <c r="L102" s="222"/>
    </row>
    <row r="103" spans="1:12">
      <c r="A103" s="220" t="s">
        <v>448</v>
      </c>
      <c r="B103" s="222">
        <v>130493154</v>
      </c>
      <c r="C103" s="220" t="s">
        <v>457</v>
      </c>
      <c r="D103" s="218">
        <v>44964</v>
      </c>
      <c r="E103" s="256">
        <f t="shared" si="1"/>
        <v>0</v>
      </c>
      <c r="F103" s="263">
        <f>20529.13-20529.13</f>
        <v>0</v>
      </c>
      <c r="G103" s="222"/>
      <c r="H103" s="222"/>
      <c r="I103" s="222"/>
      <c r="J103" s="222"/>
      <c r="K103" s="222"/>
      <c r="L103" s="222"/>
    </row>
    <row r="104" spans="1:12">
      <c r="A104" s="220" t="s">
        <v>448</v>
      </c>
      <c r="B104" s="222">
        <v>130493154</v>
      </c>
      <c r="C104" s="220" t="s">
        <v>751</v>
      </c>
      <c r="D104" s="218">
        <v>44978</v>
      </c>
      <c r="E104" s="256">
        <f t="shared" si="1"/>
        <v>0</v>
      </c>
      <c r="F104" s="263">
        <f>20529.13-20529.13</f>
        <v>0</v>
      </c>
      <c r="G104" s="222"/>
      <c r="H104" s="222"/>
      <c r="I104" s="222"/>
      <c r="J104" s="222"/>
      <c r="K104" s="222"/>
      <c r="L104" s="222"/>
    </row>
    <row r="105" spans="1:12">
      <c r="A105" s="220" t="s">
        <v>448</v>
      </c>
      <c r="B105" s="222">
        <v>130493154</v>
      </c>
      <c r="C105" s="220" t="s">
        <v>752</v>
      </c>
      <c r="D105" s="218">
        <v>44999</v>
      </c>
      <c r="E105" s="256">
        <f t="shared" si="1"/>
        <v>0</v>
      </c>
      <c r="F105" s="263">
        <f>47706.56-47706.56</f>
        <v>0</v>
      </c>
      <c r="G105" s="222"/>
      <c r="H105" s="222"/>
      <c r="I105" s="222"/>
      <c r="J105" s="222"/>
      <c r="K105" s="222"/>
      <c r="L105" s="222"/>
    </row>
    <row r="106" spans="1:12">
      <c r="A106" s="220" t="s">
        <v>448</v>
      </c>
      <c r="B106" s="222">
        <v>130493154</v>
      </c>
      <c r="C106" s="220" t="s">
        <v>460</v>
      </c>
      <c r="D106" s="218">
        <v>45014</v>
      </c>
      <c r="E106" s="256">
        <f t="shared" si="1"/>
        <v>0</v>
      </c>
      <c r="F106" s="263">
        <f>41058.27-41058.27</f>
        <v>0</v>
      </c>
      <c r="G106" s="222"/>
      <c r="H106" s="222"/>
      <c r="I106" s="222"/>
      <c r="J106" s="222"/>
      <c r="K106" s="222"/>
      <c r="L106" s="222"/>
    </row>
    <row r="107" spans="1:12">
      <c r="A107" s="214" t="s">
        <v>448</v>
      </c>
      <c r="B107" s="222">
        <v>130493154</v>
      </c>
      <c r="C107" s="222" t="s">
        <v>461</v>
      </c>
      <c r="D107" s="218">
        <v>45044</v>
      </c>
      <c r="E107" s="256">
        <f t="shared" si="1"/>
        <v>0</v>
      </c>
      <c r="F107" s="264">
        <f>41058.27-41058.27</f>
        <v>0</v>
      </c>
      <c r="G107" s="222"/>
      <c r="H107" s="222"/>
      <c r="I107" s="222"/>
      <c r="J107" s="222"/>
      <c r="K107" s="222"/>
      <c r="L107" s="222"/>
    </row>
    <row r="108" spans="1:12">
      <c r="A108" s="214" t="s">
        <v>448</v>
      </c>
      <c r="B108" s="222">
        <v>130493154</v>
      </c>
      <c r="C108" s="222" t="s">
        <v>462</v>
      </c>
      <c r="D108" s="218">
        <v>45051</v>
      </c>
      <c r="E108" s="256">
        <f t="shared" si="1"/>
        <v>0</v>
      </c>
      <c r="F108" s="264">
        <f>20529.13-20529.13</f>
        <v>0</v>
      </c>
      <c r="G108" s="222"/>
      <c r="H108" s="222"/>
      <c r="I108" s="222"/>
      <c r="J108" s="222"/>
      <c r="K108" s="222"/>
      <c r="L108" s="222"/>
    </row>
    <row r="109" spans="1:12">
      <c r="A109" s="214" t="s">
        <v>448</v>
      </c>
      <c r="B109" s="222">
        <v>130493154</v>
      </c>
      <c r="C109" s="222" t="s">
        <v>464</v>
      </c>
      <c r="D109" s="218">
        <v>45100</v>
      </c>
      <c r="E109" s="256">
        <f t="shared" si="1"/>
        <v>20529.13</v>
      </c>
      <c r="F109" s="264">
        <v>20529.13</v>
      </c>
      <c r="G109" s="222"/>
      <c r="H109" s="222"/>
      <c r="I109" s="222"/>
      <c r="J109" s="222"/>
      <c r="K109" s="222"/>
      <c r="L109" s="222"/>
    </row>
    <row r="110" spans="1:12">
      <c r="A110" s="214" t="s">
        <v>448</v>
      </c>
      <c r="B110" s="222">
        <v>130493154</v>
      </c>
      <c r="C110" s="222" t="s">
        <v>465</v>
      </c>
      <c r="D110" s="218">
        <v>45485</v>
      </c>
      <c r="E110" s="256">
        <f t="shared" si="1"/>
        <v>0</v>
      </c>
      <c r="F110" s="264">
        <f>22638.26-22638.26</f>
        <v>0</v>
      </c>
      <c r="G110" s="222"/>
      <c r="H110" s="222"/>
      <c r="I110" s="222"/>
      <c r="J110" s="222"/>
      <c r="K110" s="222"/>
      <c r="L110" s="222"/>
    </row>
    <row r="111" spans="1:12">
      <c r="A111" s="214" t="s">
        <v>448</v>
      </c>
      <c r="B111" s="222">
        <v>130493154</v>
      </c>
      <c r="C111" s="222" t="s">
        <v>466</v>
      </c>
      <c r="D111" s="218">
        <v>45187</v>
      </c>
      <c r="E111" s="256">
        <f t="shared" si="1"/>
        <v>45276.54</v>
      </c>
      <c r="F111" s="264">
        <v>45276.54</v>
      </c>
      <c r="G111" s="222"/>
      <c r="H111" s="222"/>
      <c r="I111" s="222"/>
      <c r="J111" s="222"/>
      <c r="K111" s="222"/>
      <c r="L111" s="222"/>
    </row>
    <row r="112" spans="1:12">
      <c r="A112" s="214" t="s">
        <v>448</v>
      </c>
      <c r="B112" s="222">
        <v>130493154</v>
      </c>
      <c r="C112" s="222" t="s">
        <v>467</v>
      </c>
      <c r="D112" s="218">
        <v>45187</v>
      </c>
      <c r="E112" s="256">
        <f t="shared" si="1"/>
        <v>41058.269999999997</v>
      </c>
      <c r="F112" s="264">
        <v>41058.269999999997</v>
      </c>
      <c r="G112" s="222"/>
      <c r="H112" s="222"/>
      <c r="I112" s="222"/>
      <c r="J112" s="222"/>
      <c r="K112" s="222"/>
      <c r="L112" s="222"/>
    </row>
    <row r="113" spans="1:12">
      <c r="A113" s="214" t="s">
        <v>448</v>
      </c>
      <c r="B113" s="222">
        <v>130493154</v>
      </c>
      <c r="C113" s="222" t="s">
        <v>753</v>
      </c>
      <c r="D113" s="218">
        <v>45950</v>
      </c>
      <c r="E113" s="256">
        <f t="shared" si="1"/>
        <v>0</v>
      </c>
      <c r="F113" s="264">
        <f>85280.23-85280.23</f>
        <v>0</v>
      </c>
      <c r="G113" s="222"/>
      <c r="H113" s="222"/>
      <c r="I113" s="222"/>
      <c r="J113" s="222"/>
      <c r="K113" s="222"/>
      <c r="L113" s="222"/>
    </row>
    <row r="114" spans="1:12">
      <c r="A114" s="214" t="s">
        <v>448</v>
      </c>
      <c r="B114" s="222">
        <v>130493154</v>
      </c>
      <c r="C114" s="222" t="s">
        <v>468</v>
      </c>
      <c r="D114" s="218">
        <v>45231</v>
      </c>
      <c r="E114" s="256">
        <f t="shared" si="1"/>
        <v>0</v>
      </c>
      <c r="F114" s="264">
        <f>82301.56-82301.56</f>
        <v>0</v>
      </c>
      <c r="G114" s="222"/>
      <c r="H114" s="222"/>
      <c r="I114" s="222"/>
      <c r="J114" s="222"/>
      <c r="K114" s="222"/>
      <c r="L114" s="222"/>
    </row>
    <row r="115" spans="1:12">
      <c r="A115" s="214" t="s">
        <v>448</v>
      </c>
      <c r="B115" s="222">
        <v>130493154</v>
      </c>
      <c r="C115" s="222" t="s">
        <v>469</v>
      </c>
      <c r="D115" s="218">
        <v>45244</v>
      </c>
      <c r="E115" s="256">
        <f t="shared" si="1"/>
        <v>0</v>
      </c>
      <c r="F115" s="264">
        <f>83419.4-83419.4</f>
        <v>0</v>
      </c>
      <c r="G115" s="222"/>
      <c r="H115" s="222"/>
      <c r="I115" s="222"/>
      <c r="J115" s="222"/>
      <c r="K115" s="222"/>
      <c r="L115" s="222"/>
    </row>
    <row r="116" spans="1:12">
      <c r="A116" s="214" t="s">
        <v>448</v>
      </c>
      <c r="B116" s="222">
        <v>130493154</v>
      </c>
      <c r="C116" s="222" t="s">
        <v>470</v>
      </c>
      <c r="D116" s="218">
        <v>45244</v>
      </c>
      <c r="E116" s="256">
        <f t="shared" si="1"/>
        <v>0</v>
      </c>
      <c r="F116" s="264">
        <f>41150.78-41150.78</f>
        <v>0</v>
      </c>
      <c r="G116" s="222"/>
      <c r="H116" s="222"/>
      <c r="I116" s="222"/>
      <c r="J116" s="222"/>
      <c r="K116" s="222"/>
      <c r="L116" s="222"/>
    </row>
    <row r="117" spans="1:12">
      <c r="A117" s="214" t="s">
        <v>448</v>
      </c>
      <c r="B117" s="222">
        <v>130493154</v>
      </c>
      <c r="C117" s="222" t="s">
        <v>471</v>
      </c>
      <c r="D117" s="218">
        <v>45244</v>
      </c>
      <c r="E117" s="256">
        <f t="shared" si="1"/>
        <v>0</v>
      </c>
      <c r="F117" s="264">
        <f>79627.11-79627.11</f>
        <v>0</v>
      </c>
      <c r="G117" s="222"/>
      <c r="H117" s="222"/>
      <c r="I117" s="222"/>
      <c r="J117" s="222"/>
      <c r="K117" s="222"/>
      <c r="L117" s="222"/>
    </row>
    <row r="118" spans="1:12">
      <c r="A118" s="214" t="s">
        <v>448</v>
      </c>
      <c r="B118" s="222">
        <v>130493154</v>
      </c>
      <c r="C118" s="222" t="s">
        <v>472</v>
      </c>
      <c r="D118" s="218">
        <v>45259</v>
      </c>
      <c r="E118" s="256">
        <f t="shared" si="1"/>
        <v>61726.17</v>
      </c>
      <c r="F118" s="264">
        <v>61726.17</v>
      </c>
      <c r="G118" s="222"/>
      <c r="H118" s="222"/>
      <c r="I118" s="222"/>
      <c r="J118" s="222"/>
      <c r="K118" s="222"/>
      <c r="L118" s="222"/>
    </row>
    <row r="119" spans="1:12">
      <c r="A119" s="214" t="s">
        <v>448</v>
      </c>
      <c r="B119" s="222">
        <v>130493154</v>
      </c>
      <c r="C119" s="222" t="s">
        <v>473</v>
      </c>
      <c r="D119" s="218">
        <v>45259</v>
      </c>
      <c r="E119" s="256">
        <f t="shared" si="1"/>
        <v>0</v>
      </c>
      <c r="F119" s="264">
        <f>41150.78-41150.78</f>
        <v>0</v>
      </c>
      <c r="G119" s="222"/>
      <c r="H119" s="222"/>
      <c r="I119" s="222"/>
      <c r="J119" s="222"/>
      <c r="K119" s="222"/>
      <c r="L119" s="222"/>
    </row>
    <row r="120" spans="1:12">
      <c r="A120" s="214" t="s">
        <v>448</v>
      </c>
      <c r="B120" s="222">
        <v>130493154</v>
      </c>
      <c r="C120" s="222" t="s">
        <v>474</v>
      </c>
      <c r="D120" s="218">
        <v>45652</v>
      </c>
      <c r="E120" s="256">
        <f t="shared" si="1"/>
        <v>0</v>
      </c>
      <c r="F120" s="264">
        <f>61726.17-61726.17</f>
        <v>0</v>
      </c>
      <c r="G120" s="222"/>
      <c r="H120" s="222"/>
      <c r="I120" s="222"/>
      <c r="J120" s="222"/>
      <c r="K120" s="222"/>
      <c r="L120" s="222"/>
    </row>
    <row r="121" spans="1:12">
      <c r="A121" s="214" t="s">
        <v>448</v>
      </c>
      <c r="B121" s="222">
        <v>130493154</v>
      </c>
      <c r="C121" s="222" t="s">
        <v>475</v>
      </c>
      <c r="D121" s="218">
        <v>45329</v>
      </c>
      <c r="E121" s="256">
        <f t="shared" si="1"/>
        <v>42268.62</v>
      </c>
      <c r="F121" s="264">
        <v>42268.62</v>
      </c>
      <c r="G121" s="222"/>
      <c r="H121" s="222"/>
      <c r="I121" s="222"/>
      <c r="J121" s="222"/>
      <c r="K121" s="222"/>
      <c r="L121" s="222"/>
    </row>
    <row r="122" spans="1:12">
      <c r="A122" s="214" t="s">
        <v>448</v>
      </c>
      <c r="B122" s="222">
        <v>130493154</v>
      </c>
      <c r="C122" s="222" t="s">
        <v>476</v>
      </c>
      <c r="D122" s="218">
        <v>45378</v>
      </c>
      <c r="E122" s="256">
        <f t="shared" si="1"/>
        <v>44504.29</v>
      </c>
      <c r="F122" s="264">
        <v>44504.29</v>
      </c>
      <c r="G122" s="222"/>
      <c r="H122" s="222"/>
      <c r="I122" s="222"/>
      <c r="J122" s="222"/>
      <c r="K122" s="222"/>
      <c r="L122" s="222"/>
    </row>
    <row r="123" spans="1:12">
      <c r="A123" s="214" t="s">
        <v>448</v>
      </c>
      <c r="B123" s="222">
        <v>130493154</v>
      </c>
      <c r="C123" s="222" t="s">
        <v>477</v>
      </c>
      <c r="D123" s="218">
        <v>45420</v>
      </c>
      <c r="E123" s="256">
        <f t="shared" si="1"/>
        <v>61726.17</v>
      </c>
      <c r="F123" s="264">
        <v>61726.17</v>
      </c>
      <c r="G123" s="222"/>
      <c r="H123" s="222"/>
      <c r="I123" s="222"/>
      <c r="J123" s="222"/>
      <c r="K123" s="222"/>
      <c r="L123" s="222"/>
    </row>
    <row r="124" spans="1:12">
      <c r="A124" s="214" t="s">
        <v>448</v>
      </c>
      <c r="B124" s="222">
        <v>130493154</v>
      </c>
      <c r="C124" s="222" t="s">
        <v>478</v>
      </c>
      <c r="D124" s="218">
        <v>45440</v>
      </c>
      <c r="E124" s="256">
        <f t="shared" si="1"/>
        <v>84537.23</v>
      </c>
      <c r="F124" s="264">
        <v>84537.23</v>
      </c>
      <c r="G124" s="222"/>
      <c r="H124" s="222"/>
      <c r="I124" s="222"/>
      <c r="J124" s="222"/>
      <c r="K124" s="222"/>
      <c r="L124" s="222"/>
    </row>
    <row r="125" spans="1:12">
      <c r="A125" s="214" t="s">
        <v>448</v>
      </c>
      <c r="B125" s="222">
        <v>130493154</v>
      </c>
      <c r="C125" s="222" t="s">
        <v>479</v>
      </c>
      <c r="D125" s="218">
        <v>45434</v>
      </c>
      <c r="E125" s="256">
        <f t="shared" si="1"/>
        <v>83419.399999999994</v>
      </c>
      <c r="F125" s="264">
        <v>83419.399999999994</v>
      </c>
      <c r="G125" s="222"/>
      <c r="H125" s="222"/>
      <c r="I125" s="222"/>
      <c r="J125" s="222"/>
      <c r="K125" s="222"/>
      <c r="L125" s="222"/>
    </row>
    <row r="126" spans="1:12">
      <c r="A126" s="214" t="s">
        <v>448</v>
      </c>
      <c r="B126" s="222">
        <v>130493154</v>
      </c>
      <c r="C126" s="222" t="s">
        <v>480</v>
      </c>
      <c r="D126" s="218">
        <v>45443</v>
      </c>
      <c r="E126" s="256">
        <f t="shared" si="1"/>
        <v>41150.78</v>
      </c>
      <c r="F126" s="264">
        <v>41150.78</v>
      </c>
      <c r="G126" s="222"/>
      <c r="H126" s="222"/>
      <c r="I126" s="222"/>
      <c r="J126" s="222"/>
      <c r="K126" s="222"/>
      <c r="L126" s="222"/>
    </row>
    <row r="127" spans="1:12">
      <c r="A127" s="214" t="s">
        <v>448</v>
      </c>
      <c r="B127" s="222">
        <v>130493154</v>
      </c>
      <c r="C127" s="222" t="s">
        <v>481</v>
      </c>
      <c r="D127" s="218">
        <v>45464</v>
      </c>
      <c r="E127" s="256">
        <f t="shared" si="1"/>
        <v>61726.17</v>
      </c>
      <c r="F127" s="264">
        <v>61726.17</v>
      </c>
      <c r="G127" s="222"/>
      <c r="H127" s="222"/>
      <c r="I127" s="222"/>
      <c r="J127" s="222"/>
      <c r="K127" s="222"/>
      <c r="L127" s="222"/>
    </row>
    <row r="128" spans="1:12">
      <c r="A128" s="214" t="s">
        <v>448</v>
      </c>
      <c r="B128" s="222">
        <v>130493154</v>
      </c>
      <c r="C128" s="222" t="s">
        <v>482</v>
      </c>
      <c r="D128" s="218">
        <v>45468</v>
      </c>
      <c r="E128" s="256">
        <f t="shared" si="1"/>
        <v>82301.56</v>
      </c>
      <c r="F128" s="264">
        <v>82301.56</v>
      </c>
      <c r="G128" s="222"/>
      <c r="H128" s="222"/>
      <c r="I128" s="222"/>
      <c r="J128" s="222"/>
      <c r="K128" s="222"/>
      <c r="L128" s="222"/>
    </row>
    <row r="129" spans="1:12">
      <c r="A129" s="214" t="s">
        <v>448</v>
      </c>
      <c r="B129" s="222">
        <v>130493154</v>
      </c>
      <c r="C129" s="222" t="s">
        <v>483</v>
      </c>
      <c r="D129" s="218">
        <v>45483</v>
      </c>
      <c r="E129" s="256">
        <f t="shared" si="1"/>
        <v>89899.58</v>
      </c>
      <c r="F129" s="264">
        <v>89899.58</v>
      </c>
      <c r="G129" s="222"/>
      <c r="H129" s="222"/>
      <c r="I129" s="222"/>
      <c r="J129" s="222"/>
      <c r="K129" s="222"/>
      <c r="L129" s="222"/>
    </row>
    <row r="130" spans="1:12">
      <c r="A130" s="214" t="s">
        <v>448</v>
      </c>
      <c r="B130" s="222">
        <v>130493154</v>
      </c>
      <c r="C130" s="222" t="s">
        <v>484</v>
      </c>
      <c r="D130" s="218">
        <v>45483</v>
      </c>
      <c r="E130" s="256">
        <f t="shared" si="1"/>
        <v>41150.78</v>
      </c>
      <c r="F130" s="264">
        <v>41150.78</v>
      </c>
      <c r="G130" s="222"/>
      <c r="H130" s="222"/>
      <c r="I130" s="222"/>
      <c r="J130" s="222"/>
      <c r="K130" s="222"/>
      <c r="L130" s="222"/>
    </row>
    <row r="131" spans="1:12">
      <c r="A131" s="214" t="s">
        <v>448</v>
      </c>
      <c r="B131" s="222">
        <v>130493154</v>
      </c>
      <c r="C131" s="222" t="s">
        <v>485</v>
      </c>
      <c r="D131" s="218">
        <v>45485</v>
      </c>
      <c r="E131" s="256">
        <f t="shared" si="1"/>
        <v>82301.58</v>
      </c>
      <c r="F131" s="264">
        <v>82301.58</v>
      </c>
      <c r="G131" s="222"/>
      <c r="H131" s="222"/>
      <c r="I131" s="222"/>
      <c r="J131" s="222"/>
      <c r="K131" s="222"/>
      <c r="L131" s="222"/>
    </row>
    <row r="132" spans="1:12">
      <c r="A132" s="214" t="s">
        <v>448</v>
      </c>
      <c r="B132" s="222">
        <v>130493154</v>
      </c>
      <c r="C132" s="222" t="s">
        <v>486</v>
      </c>
      <c r="D132" s="218">
        <v>45504</v>
      </c>
      <c r="E132" s="256">
        <f t="shared" si="1"/>
        <v>61726.17</v>
      </c>
      <c r="F132" s="264">
        <v>61726.17</v>
      </c>
      <c r="G132" s="222"/>
      <c r="H132" s="222"/>
      <c r="I132" s="222"/>
      <c r="J132" s="222"/>
      <c r="K132" s="222"/>
      <c r="L132" s="222"/>
    </row>
    <row r="133" spans="1:12">
      <c r="A133" s="214" t="s">
        <v>448</v>
      </c>
      <c r="B133" s="222">
        <v>130493154</v>
      </c>
      <c r="C133" s="222" t="s">
        <v>487</v>
      </c>
      <c r="D133" s="218">
        <v>45504</v>
      </c>
      <c r="E133" s="256">
        <f t="shared" si="1"/>
        <v>41150.78</v>
      </c>
      <c r="F133" s="264">
        <v>41150.78</v>
      </c>
      <c r="G133" s="222"/>
      <c r="H133" s="222"/>
      <c r="I133" s="222"/>
      <c r="J133" s="222"/>
      <c r="K133" s="222"/>
      <c r="L133" s="222"/>
    </row>
    <row r="134" spans="1:12">
      <c r="A134" s="214" t="s">
        <v>448</v>
      </c>
      <c r="B134" s="222">
        <v>130493154</v>
      </c>
      <c r="C134" s="222" t="s">
        <v>488</v>
      </c>
      <c r="D134" s="218">
        <v>45519</v>
      </c>
      <c r="E134" s="256">
        <f t="shared" si="1"/>
        <v>41150.78</v>
      </c>
      <c r="F134" s="264">
        <v>41150.78</v>
      </c>
      <c r="G134" s="222"/>
      <c r="H134" s="222"/>
      <c r="I134" s="222"/>
      <c r="J134" s="222"/>
      <c r="K134" s="222"/>
      <c r="L134" s="222"/>
    </row>
    <row r="135" spans="1:12">
      <c r="A135" s="214" t="s">
        <v>448</v>
      </c>
      <c r="B135" s="222">
        <v>130493154</v>
      </c>
      <c r="C135" s="222" t="s">
        <v>489</v>
      </c>
      <c r="D135" s="218">
        <v>45541</v>
      </c>
      <c r="E135" s="256">
        <f t="shared" si="1"/>
        <v>0</v>
      </c>
      <c r="F135" s="264">
        <f>42268.62-42268.62</f>
        <v>0</v>
      </c>
      <c r="G135" s="222"/>
      <c r="H135" s="222"/>
      <c r="I135" s="222"/>
      <c r="J135" s="222"/>
      <c r="K135" s="222"/>
      <c r="L135" s="222"/>
    </row>
    <row r="136" spans="1:12">
      <c r="A136" s="214" t="s">
        <v>448</v>
      </c>
      <c r="B136" s="222">
        <v>130493154</v>
      </c>
      <c r="C136" s="222" t="s">
        <v>490</v>
      </c>
      <c r="D136" s="218">
        <v>45561</v>
      </c>
      <c r="E136" s="256">
        <f t="shared" si="1"/>
        <v>0</v>
      </c>
      <c r="F136" s="264">
        <f>84537.23-84537.23</f>
        <v>0</v>
      </c>
      <c r="G136" s="222"/>
      <c r="H136" s="222"/>
      <c r="I136" s="222"/>
      <c r="J136" s="222"/>
      <c r="K136" s="222"/>
      <c r="L136" s="222"/>
    </row>
    <row r="137" spans="1:12">
      <c r="A137" s="214" t="s">
        <v>448</v>
      </c>
      <c r="B137" s="222">
        <v>130493154</v>
      </c>
      <c r="C137" s="222" t="s">
        <v>491</v>
      </c>
      <c r="D137" s="218">
        <v>45547</v>
      </c>
      <c r="E137" s="256">
        <f t="shared" si="1"/>
        <v>0</v>
      </c>
      <c r="F137" s="264">
        <f>43386.45-43386.45</f>
        <v>0</v>
      </c>
      <c r="G137" s="222"/>
      <c r="H137" s="222"/>
      <c r="I137" s="222"/>
      <c r="J137" s="222"/>
      <c r="K137" s="222"/>
      <c r="L137" s="222"/>
    </row>
    <row r="138" spans="1:12">
      <c r="A138" s="214" t="s">
        <v>448</v>
      </c>
      <c r="B138" s="222">
        <v>130493154</v>
      </c>
      <c r="C138" s="222" t="s">
        <v>492</v>
      </c>
      <c r="D138" s="218">
        <v>45573</v>
      </c>
      <c r="E138" s="256">
        <f t="shared" si="1"/>
        <v>0</v>
      </c>
      <c r="F138" s="264">
        <f>65552.3-65552.3</f>
        <v>0</v>
      </c>
      <c r="G138" s="222"/>
      <c r="H138" s="222"/>
      <c r="I138" s="222"/>
      <c r="J138" s="222"/>
      <c r="K138" s="222"/>
      <c r="L138" s="222"/>
    </row>
    <row r="139" spans="1:12">
      <c r="A139" s="214" t="s">
        <v>448</v>
      </c>
      <c r="B139" s="222">
        <v>130493154</v>
      </c>
      <c r="C139" s="222" t="s">
        <v>493</v>
      </c>
      <c r="D139" s="218">
        <v>45576</v>
      </c>
      <c r="E139" s="256">
        <f t="shared" si="1"/>
        <v>102876.95</v>
      </c>
      <c r="F139" s="264">
        <v>102876.95</v>
      </c>
      <c r="G139" s="222"/>
      <c r="H139" s="222"/>
      <c r="I139" s="222"/>
      <c r="J139" s="222"/>
      <c r="K139" s="222"/>
      <c r="L139" s="222"/>
    </row>
    <row r="140" spans="1:12">
      <c r="A140" s="214" t="s">
        <v>448</v>
      </c>
      <c r="B140" s="222">
        <v>130493154</v>
      </c>
      <c r="C140" s="222" t="s">
        <v>494</v>
      </c>
      <c r="D140" s="218">
        <v>45576</v>
      </c>
      <c r="E140" s="256">
        <f t="shared" si="1"/>
        <v>0</v>
      </c>
      <c r="F140" s="264">
        <f>87403.08-87403.08</f>
        <v>0</v>
      </c>
      <c r="G140" s="222"/>
      <c r="H140" s="222"/>
      <c r="I140" s="222"/>
      <c r="J140" s="222"/>
      <c r="K140" s="222"/>
      <c r="L140" s="222"/>
    </row>
    <row r="141" spans="1:12">
      <c r="A141" s="214" t="s">
        <v>448</v>
      </c>
      <c r="B141" s="222">
        <v>130493154</v>
      </c>
      <c r="C141" s="222" t="s">
        <v>495</v>
      </c>
      <c r="D141" s="218">
        <v>45576</v>
      </c>
      <c r="E141" s="256">
        <f t="shared" si="1"/>
        <v>0</v>
      </c>
      <c r="F141" s="264">
        <f>65552.3-65552.3</f>
        <v>0</v>
      </c>
      <c r="G141" s="222"/>
      <c r="H141" s="222"/>
      <c r="I141" s="222"/>
      <c r="J141" s="222"/>
      <c r="K141" s="222"/>
      <c r="L141" s="222"/>
    </row>
    <row r="142" spans="1:12">
      <c r="A142" s="214" t="s">
        <v>448</v>
      </c>
      <c r="B142" s="222">
        <v>130493154</v>
      </c>
      <c r="C142" s="222" t="s">
        <v>496</v>
      </c>
      <c r="D142" s="218">
        <v>45587</v>
      </c>
      <c r="E142" s="256">
        <f t="shared" si="1"/>
        <v>65552.3</v>
      </c>
      <c r="F142" s="264">
        <v>65552.3</v>
      </c>
      <c r="G142" s="222"/>
      <c r="H142" s="222"/>
      <c r="I142" s="222"/>
      <c r="J142" s="222"/>
      <c r="K142" s="222"/>
      <c r="L142" s="222"/>
    </row>
    <row r="143" spans="1:12">
      <c r="A143" s="214" t="s">
        <v>448</v>
      </c>
      <c r="B143" s="222">
        <v>130493154</v>
      </c>
      <c r="C143" s="222" t="s">
        <v>497</v>
      </c>
      <c r="D143" s="218">
        <v>45593</v>
      </c>
      <c r="E143" s="256">
        <f t="shared" si="1"/>
        <v>0</v>
      </c>
      <c r="F143" s="264">
        <f>65552.3-65552.3</f>
        <v>0</v>
      </c>
      <c r="G143" s="222"/>
      <c r="H143" s="222"/>
      <c r="I143" s="222"/>
      <c r="J143" s="222"/>
      <c r="K143" s="222"/>
      <c r="L143" s="222"/>
    </row>
    <row r="144" spans="1:12">
      <c r="A144" s="214" t="s">
        <v>448</v>
      </c>
      <c r="B144" s="222">
        <v>130493154</v>
      </c>
      <c r="C144" s="222" t="s">
        <v>498</v>
      </c>
      <c r="D144" s="218">
        <v>45587</v>
      </c>
      <c r="E144" s="256">
        <f t="shared" ref="E144:E213" si="2">SUM(F144:J144)</f>
        <v>0</v>
      </c>
      <c r="F144" s="264">
        <f>43701.53-43701.53</f>
        <v>0</v>
      </c>
      <c r="G144" s="222"/>
      <c r="H144" s="222"/>
      <c r="I144" s="222"/>
      <c r="J144" s="222"/>
      <c r="K144" s="222"/>
      <c r="L144" s="222"/>
    </row>
    <row r="145" spans="1:12">
      <c r="A145" s="214" t="s">
        <v>448</v>
      </c>
      <c r="B145" s="222">
        <v>130493154</v>
      </c>
      <c r="C145" s="222" t="s">
        <v>499</v>
      </c>
      <c r="D145" s="218">
        <v>45617</v>
      </c>
      <c r="E145" s="256">
        <f t="shared" si="2"/>
        <v>115275.32</v>
      </c>
      <c r="F145" s="264">
        <v>115275.32</v>
      </c>
      <c r="G145" s="222"/>
      <c r="H145" s="222"/>
      <c r="I145" s="222"/>
      <c r="J145" s="222"/>
      <c r="K145" s="222"/>
      <c r="L145" s="222"/>
    </row>
    <row r="146" spans="1:12">
      <c r="A146" s="214" t="s">
        <v>448</v>
      </c>
      <c r="B146" s="222">
        <v>130493154</v>
      </c>
      <c r="C146" s="222" t="s">
        <v>500</v>
      </c>
      <c r="D146" s="218">
        <v>45617</v>
      </c>
      <c r="E146" s="256">
        <f t="shared" si="2"/>
        <v>87403.07</v>
      </c>
      <c r="F146" s="264">
        <v>87403.07</v>
      </c>
      <c r="G146" s="222"/>
      <c r="H146" s="222"/>
      <c r="I146" s="222"/>
      <c r="J146" s="222"/>
      <c r="K146" s="222"/>
      <c r="L146" s="222"/>
    </row>
    <row r="147" spans="1:12">
      <c r="A147" s="214" t="s">
        <v>448</v>
      </c>
      <c r="B147" s="222">
        <v>130493154</v>
      </c>
      <c r="C147" s="222" t="s">
        <v>463</v>
      </c>
      <c r="D147" s="218">
        <v>45794</v>
      </c>
      <c r="E147" s="256">
        <f t="shared" si="2"/>
        <v>0</v>
      </c>
      <c r="F147" s="264">
        <f>41058.27-41058.27</f>
        <v>0</v>
      </c>
      <c r="G147" s="222"/>
      <c r="H147" s="222"/>
      <c r="I147" s="222"/>
      <c r="J147" s="222"/>
      <c r="K147" s="222"/>
      <c r="L147" s="222"/>
    </row>
    <row r="148" spans="1:12">
      <c r="A148" s="214" t="s">
        <v>448</v>
      </c>
      <c r="B148" s="222">
        <v>130493154</v>
      </c>
      <c r="C148" s="222" t="s">
        <v>501</v>
      </c>
      <c r="D148" s="218">
        <v>45818</v>
      </c>
      <c r="E148" s="256">
        <f t="shared" si="2"/>
        <v>0</v>
      </c>
      <c r="F148" s="264">
        <f>24991.1-24991.1</f>
        <v>0</v>
      </c>
      <c r="G148" s="222"/>
      <c r="H148" s="222"/>
      <c r="I148" s="222"/>
      <c r="J148" s="222"/>
      <c r="K148" s="222"/>
      <c r="L148" s="222"/>
    </row>
    <row r="149" spans="1:12">
      <c r="A149" s="214" t="s">
        <v>448</v>
      </c>
      <c r="B149" s="222">
        <v>130493154</v>
      </c>
      <c r="C149" s="222" t="s">
        <v>502</v>
      </c>
      <c r="D149" s="218">
        <v>45826</v>
      </c>
      <c r="E149" s="256">
        <f t="shared" si="2"/>
        <v>0</v>
      </c>
      <c r="F149" s="264">
        <f>21850.77-21850.77</f>
        <v>0</v>
      </c>
      <c r="G149" s="222"/>
      <c r="H149" s="222"/>
      <c r="I149" s="222"/>
      <c r="J149" s="222"/>
      <c r="K149" s="222"/>
      <c r="L149" s="222"/>
    </row>
    <row r="150" spans="1:12">
      <c r="A150" s="214" t="s">
        <v>448</v>
      </c>
      <c r="B150" s="222">
        <v>130493154</v>
      </c>
      <c r="C150" s="222" t="s">
        <v>503</v>
      </c>
      <c r="D150" s="218">
        <v>45835</v>
      </c>
      <c r="E150" s="256">
        <f t="shared" si="2"/>
        <v>0</v>
      </c>
      <c r="F150" s="264">
        <f>21850.77-21850.77</f>
        <v>0</v>
      </c>
      <c r="G150" s="222"/>
      <c r="H150" s="222"/>
      <c r="I150" s="222"/>
      <c r="J150" s="222"/>
      <c r="K150" s="222"/>
      <c r="L150" s="222"/>
    </row>
    <row r="151" spans="1:12">
      <c r="A151" s="214" t="s">
        <v>448</v>
      </c>
      <c r="B151" s="222">
        <v>130493154</v>
      </c>
      <c r="C151" s="222" t="s">
        <v>504</v>
      </c>
      <c r="D151" s="218">
        <v>45842</v>
      </c>
      <c r="E151" s="256">
        <f t="shared" si="2"/>
        <v>0</v>
      </c>
      <c r="F151" s="264">
        <f>25463.65-25463.65</f>
        <v>0</v>
      </c>
      <c r="G151" s="222"/>
      <c r="H151" s="222"/>
      <c r="I151" s="222"/>
      <c r="J151" s="222"/>
      <c r="K151" s="222"/>
      <c r="L151" s="222"/>
    </row>
    <row r="152" spans="1:12">
      <c r="A152" s="214" t="s">
        <v>448</v>
      </c>
      <c r="B152" s="222">
        <v>130493154</v>
      </c>
      <c r="C152" s="222" t="s">
        <v>505</v>
      </c>
      <c r="D152" s="218">
        <v>45848</v>
      </c>
      <c r="E152" s="256">
        <f t="shared" si="2"/>
        <v>0</v>
      </c>
      <c r="F152" s="264">
        <f>21850.77-21850.77</f>
        <v>0</v>
      </c>
      <c r="G152" s="222"/>
      <c r="H152" s="222"/>
      <c r="I152" s="222"/>
      <c r="J152" s="222"/>
      <c r="K152" s="222"/>
      <c r="L152" s="222"/>
    </row>
    <row r="153" spans="1:12">
      <c r="A153" s="214" t="s">
        <v>448</v>
      </c>
      <c r="B153" s="222">
        <v>130493154</v>
      </c>
      <c r="C153" s="222" t="s">
        <v>506</v>
      </c>
      <c r="D153" s="218">
        <v>45863</v>
      </c>
      <c r="E153" s="256">
        <f t="shared" si="2"/>
        <v>0</v>
      </c>
      <c r="F153" s="264">
        <f>23055.07-23055.07</f>
        <v>0</v>
      </c>
      <c r="G153" s="222"/>
      <c r="H153" s="222"/>
      <c r="I153" s="222"/>
      <c r="J153" s="222"/>
      <c r="K153" s="222"/>
      <c r="L153" s="222"/>
    </row>
    <row r="154" spans="1:12">
      <c r="A154" s="214" t="s">
        <v>448</v>
      </c>
      <c r="B154" s="222">
        <v>130493154</v>
      </c>
      <c r="C154" s="222" t="s">
        <v>507</v>
      </c>
      <c r="D154" s="218">
        <v>45878</v>
      </c>
      <c r="E154" s="256">
        <f t="shared" si="2"/>
        <v>21850.77</v>
      </c>
      <c r="F154" s="264">
        <v>21850.77</v>
      </c>
      <c r="G154" s="222"/>
      <c r="H154" s="222"/>
      <c r="I154" s="222"/>
      <c r="J154" s="222"/>
      <c r="K154" s="222"/>
      <c r="L154" s="222"/>
    </row>
    <row r="155" spans="1:12">
      <c r="A155" s="214" t="s">
        <v>448</v>
      </c>
      <c r="B155" s="222">
        <v>130493154</v>
      </c>
      <c r="C155" s="222" t="s">
        <v>508</v>
      </c>
      <c r="D155" s="218">
        <v>45889</v>
      </c>
      <c r="E155" s="256">
        <f t="shared" si="2"/>
        <v>0</v>
      </c>
      <c r="F155" s="264">
        <f>21850.77-21850.77</f>
        <v>0</v>
      </c>
      <c r="G155" s="222"/>
      <c r="H155" s="222"/>
      <c r="I155" s="222"/>
      <c r="J155" s="222"/>
      <c r="K155" s="222"/>
      <c r="L155" s="222"/>
    </row>
    <row r="156" spans="1:12">
      <c r="A156" s="214" t="s">
        <v>448</v>
      </c>
      <c r="B156" s="222">
        <v>130493154</v>
      </c>
      <c r="C156" s="222" t="s">
        <v>509</v>
      </c>
      <c r="D156" s="218">
        <v>45898</v>
      </c>
      <c r="E156" s="256">
        <f t="shared" si="2"/>
        <v>21850.77</v>
      </c>
      <c r="F156" s="264">
        <v>21850.77</v>
      </c>
      <c r="G156" s="222"/>
      <c r="H156" s="222"/>
      <c r="I156" s="222"/>
      <c r="J156" s="222"/>
      <c r="K156" s="222"/>
      <c r="L156" s="222"/>
    </row>
    <row r="157" spans="1:12">
      <c r="A157" s="214" t="s">
        <v>448</v>
      </c>
      <c r="B157" s="222">
        <v>130493154</v>
      </c>
      <c r="C157" s="222" t="s">
        <v>510</v>
      </c>
      <c r="D157" s="218">
        <v>45903</v>
      </c>
      <c r="E157" s="256">
        <f t="shared" si="2"/>
        <v>21850.77</v>
      </c>
      <c r="F157" s="264">
        <v>21850.77</v>
      </c>
      <c r="G157" s="222"/>
      <c r="H157" s="222"/>
      <c r="I157" s="222"/>
      <c r="J157" s="222"/>
      <c r="K157" s="222"/>
      <c r="L157" s="222"/>
    </row>
    <row r="158" spans="1:12">
      <c r="A158" s="214" t="s">
        <v>448</v>
      </c>
      <c r="B158" s="222">
        <v>130493154</v>
      </c>
      <c r="C158" s="222" t="s">
        <v>511</v>
      </c>
      <c r="D158" s="218">
        <v>45909</v>
      </c>
      <c r="E158" s="256">
        <f t="shared" si="2"/>
        <v>24259.37</v>
      </c>
      <c r="F158" s="264">
        <v>24259.37</v>
      </c>
      <c r="G158" s="222"/>
      <c r="H158" s="222"/>
      <c r="I158" s="222"/>
      <c r="J158" s="222"/>
      <c r="K158" s="222"/>
      <c r="L158" s="222"/>
    </row>
    <row r="159" spans="1:12">
      <c r="A159" s="214" t="s">
        <v>448</v>
      </c>
      <c r="B159" s="222">
        <v>130493154</v>
      </c>
      <c r="C159" s="222" t="s">
        <v>512</v>
      </c>
      <c r="D159" s="218">
        <v>45925</v>
      </c>
      <c r="E159" s="256">
        <f t="shared" si="2"/>
        <v>6206.42</v>
      </c>
      <c r="F159" s="264">
        <v>6206.42</v>
      </c>
      <c r="G159" s="222"/>
      <c r="H159" s="222"/>
      <c r="I159" s="222"/>
      <c r="J159" s="222"/>
      <c r="K159" s="222"/>
      <c r="L159" s="222"/>
    </row>
    <row r="160" spans="1:12">
      <c r="A160" s="214" t="s">
        <v>448</v>
      </c>
      <c r="B160" s="222">
        <v>130493154</v>
      </c>
      <c r="C160" s="222" t="s">
        <v>513</v>
      </c>
      <c r="D160" s="218">
        <v>45926</v>
      </c>
      <c r="E160" s="256">
        <f t="shared" si="2"/>
        <v>26667.95</v>
      </c>
      <c r="F160" s="264">
        <v>26667.95</v>
      </c>
      <c r="G160" s="222"/>
      <c r="H160" s="222"/>
      <c r="I160" s="222"/>
      <c r="J160" s="222"/>
      <c r="K160" s="222"/>
      <c r="L160" s="222"/>
    </row>
    <row r="161" spans="1:12">
      <c r="A161" s="214" t="s">
        <v>448</v>
      </c>
      <c r="B161" s="222">
        <v>130493154</v>
      </c>
      <c r="C161" s="222" t="s">
        <v>514</v>
      </c>
      <c r="D161" s="218">
        <v>45930</v>
      </c>
      <c r="E161" s="256">
        <f t="shared" si="2"/>
        <v>23055.07</v>
      </c>
      <c r="F161" s="264">
        <v>23055.07</v>
      </c>
      <c r="G161" s="222"/>
      <c r="H161" s="222"/>
      <c r="I161" s="222"/>
      <c r="J161" s="222"/>
      <c r="K161" s="222"/>
      <c r="L161" s="222"/>
    </row>
    <row r="162" spans="1:12">
      <c r="A162" s="214" t="s">
        <v>448</v>
      </c>
      <c r="B162" s="222">
        <v>130493154</v>
      </c>
      <c r="C162" s="222" t="s">
        <v>515</v>
      </c>
      <c r="D162" s="218">
        <v>45952</v>
      </c>
      <c r="E162" s="256">
        <f t="shared" si="2"/>
        <v>23055.07</v>
      </c>
      <c r="F162" s="264">
        <v>23055.07</v>
      </c>
      <c r="G162" s="222"/>
      <c r="H162" s="222"/>
      <c r="I162" s="222"/>
      <c r="J162" s="222"/>
      <c r="K162" s="222"/>
      <c r="L162" s="222"/>
    </row>
    <row r="163" spans="1:12">
      <c r="A163" s="214" t="s">
        <v>448</v>
      </c>
      <c r="B163" s="222">
        <v>130493154</v>
      </c>
      <c r="C163" s="222" t="s">
        <v>516</v>
      </c>
      <c r="D163" s="218">
        <v>45939</v>
      </c>
      <c r="E163" s="256">
        <f t="shared" si="2"/>
        <v>21850.77</v>
      </c>
      <c r="F163" s="264">
        <v>21850.77</v>
      </c>
      <c r="G163" s="222"/>
      <c r="H163" s="222"/>
      <c r="I163" s="222"/>
      <c r="J163" s="222"/>
      <c r="K163" s="222"/>
      <c r="L163" s="222"/>
    </row>
    <row r="164" spans="1:12">
      <c r="A164" s="214" t="s">
        <v>448</v>
      </c>
      <c r="B164" s="222">
        <v>130493154</v>
      </c>
      <c r="C164" s="222" t="s">
        <v>517</v>
      </c>
      <c r="D164" s="218">
        <v>45947</v>
      </c>
      <c r="E164" s="256">
        <f t="shared" si="2"/>
        <v>24259.37</v>
      </c>
      <c r="F164" s="264">
        <v>24259.37</v>
      </c>
      <c r="G164" s="222"/>
      <c r="H164" s="222"/>
      <c r="I164" s="222"/>
      <c r="J164" s="222"/>
      <c r="K164" s="222"/>
      <c r="L164" s="222"/>
    </row>
    <row r="165" spans="1:12">
      <c r="A165" s="214" t="s">
        <v>519</v>
      </c>
      <c r="B165" s="222">
        <v>101070587</v>
      </c>
      <c r="C165" s="220" t="s">
        <v>518</v>
      </c>
      <c r="D165" s="212">
        <v>45896</v>
      </c>
      <c r="E165" s="256">
        <f t="shared" si="2"/>
        <v>0</v>
      </c>
      <c r="F165" s="260">
        <f>15000-15000</f>
        <v>0</v>
      </c>
      <c r="G165" s="222"/>
      <c r="H165" s="222"/>
      <c r="I165" s="222"/>
      <c r="J165" s="222"/>
      <c r="K165" s="222"/>
      <c r="L165" s="222"/>
    </row>
    <row r="166" spans="1:12">
      <c r="A166" s="214" t="s">
        <v>519</v>
      </c>
      <c r="B166" s="222">
        <v>101070587</v>
      </c>
      <c r="C166" s="220" t="s">
        <v>520</v>
      </c>
      <c r="D166" s="212">
        <v>45917</v>
      </c>
      <c r="E166" s="256">
        <f t="shared" si="2"/>
        <v>0</v>
      </c>
      <c r="F166" s="260">
        <f>28814.76-28814.76</f>
        <v>0</v>
      </c>
      <c r="G166" s="222"/>
      <c r="H166" s="222"/>
      <c r="I166" s="222"/>
      <c r="J166" s="222"/>
      <c r="K166" s="222"/>
      <c r="L166" s="222"/>
    </row>
    <row r="167" spans="1:12">
      <c r="A167" s="214" t="s">
        <v>519</v>
      </c>
      <c r="B167" s="222">
        <v>101070587</v>
      </c>
      <c r="C167" s="220" t="s">
        <v>521</v>
      </c>
      <c r="D167" s="212">
        <v>45938</v>
      </c>
      <c r="E167" s="256">
        <f t="shared" si="2"/>
        <v>0</v>
      </c>
      <c r="F167" s="260">
        <f>323125.39-323125.39</f>
        <v>0</v>
      </c>
      <c r="G167" s="222"/>
      <c r="H167" s="222"/>
      <c r="I167" s="222"/>
      <c r="J167" s="222"/>
      <c r="K167" s="222"/>
      <c r="L167" s="222"/>
    </row>
    <row r="168" spans="1:12">
      <c r="A168" s="214" t="s">
        <v>519</v>
      </c>
      <c r="B168" s="222">
        <v>101070587</v>
      </c>
      <c r="C168" s="220" t="s">
        <v>522</v>
      </c>
      <c r="D168" s="212">
        <v>45947</v>
      </c>
      <c r="E168" s="256">
        <f t="shared" si="2"/>
        <v>30000</v>
      </c>
      <c r="F168" s="260">
        <v>30000</v>
      </c>
      <c r="G168" s="222"/>
      <c r="H168" s="222"/>
      <c r="I168" s="222"/>
      <c r="J168" s="222"/>
      <c r="K168" s="222"/>
      <c r="L168" s="222"/>
    </row>
    <row r="169" spans="1:12">
      <c r="A169" s="214" t="s">
        <v>519</v>
      </c>
      <c r="B169" s="222">
        <v>101070587</v>
      </c>
      <c r="C169" s="220" t="s">
        <v>523</v>
      </c>
      <c r="D169" s="212">
        <v>45946</v>
      </c>
      <c r="E169" s="256">
        <f t="shared" si="2"/>
        <v>0</v>
      </c>
      <c r="F169" s="260">
        <f>7549-7549</f>
        <v>0</v>
      </c>
      <c r="G169" s="222"/>
      <c r="H169" s="222"/>
      <c r="I169" s="222"/>
      <c r="J169" s="222"/>
      <c r="K169" s="222"/>
      <c r="L169" s="222"/>
    </row>
    <row r="170" spans="1:12">
      <c r="A170" s="220" t="s">
        <v>180</v>
      </c>
      <c r="B170" s="222">
        <v>131198971</v>
      </c>
      <c r="C170" s="220" t="s">
        <v>524</v>
      </c>
      <c r="D170" s="212">
        <v>45491</v>
      </c>
      <c r="E170" s="256">
        <f t="shared" si="2"/>
        <v>0</v>
      </c>
      <c r="F170" s="260">
        <f>3240-3240</f>
        <v>0</v>
      </c>
      <c r="G170" s="222"/>
      <c r="H170" s="222"/>
      <c r="I170" s="222"/>
      <c r="J170" s="222"/>
      <c r="K170" s="222"/>
      <c r="L170" s="222"/>
    </row>
    <row r="171" spans="1:12">
      <c r="A171" s="220" t="s">
        <v>180</v>
      </c>
      <c r="B171" s="222">
        <v>131198971</v>
      </c>
      <c r="C171" s="220" t="s">
        <v>525</v>
      </c>
      <c r="D171" s="212">
        <v>45925</v>
      </c>
      <c r="E171" s="256">
        <f t="shared" si="2"/>
        <v>0</v>
      </c>
      <c r="F171" s="260">
        <f>161368-161368</f>
        <v>0</v>
      </c>
      <c r="G171" s="222"/>
      <c r="H171" s="222"/>
      <c r="I171" s="222"/>
      <c r="J171" s="222"/>
      <c r="K171" s="222"/>
      <c r="L171" s="222"/>
    </row>
    <row r="172" spans="1:12">
      <c r="A172" s="220" t="s">
        <v>180</v>
      </c>
      <c r="B172" s="222">
        <v>131198971</v>
      </c>
      <c r="C172" s="220" t="s">
        <v>526</v>
      </c>
      <c r="D172" s="212">
        <v>45930</v>
      </c>
      <c r="E172" s="256">
        <f t="shared" si="2"/>
        <v>0</v>
      </c>
      <c r="F172" s="260">
        <f>212832.9-212832.9</f>
        <v>0</v>
      </c>
      <c r="G172" s="222"/>
      <c r="H172" s="222"/>
      <c r="I172" s="222"/>
      <c r="J172" s="222"/>
      <c r="K172" s="222"/>
      <c r="L172" s="222"/>
    </row>
    <row r="173" spans="1:12">
      <c r="A173" s="220" t="s">
        <v>180</v>
      </c>
      <c r="B173" s="222">
        <v>131198971</v>
      </c>
      <c r="C173" s="220" t="s">
        <v>527</v>
      </c>
      <c r="D173" s="212">
        <v>45947</v>
      </c>
      <c r="E173" s="256">
        <f t="shared" si="2"/>
        <v>0</v>
      </c>
      <c r="F173" s="260">
        <f>57956-57956</f>
        <v>0</v>
      </c>
      <c r="G173" s="222"/>
      <c r="H173" s="222"/>
      <c r="I173" s="222"/>
      <c r="J173" s="222"/>
      <c r="K173" s="222"/>
      <c r="L173" s="222"/>
    </row>
    <row r="174" spans="1:12">
      <c r="A174" s="220" t="s">
        <v>183</v>
      </c>
      <c r="B174" s="222">
        <v>131082272</v>
      </c>
      <c r="C174" s="220" t="s">
        <v>528</v>
      </c>
      <c r="D174" s="218">
        <v>45932</v>
      </c>
      <c r="E174" s="256">
        <f t="shared" si="2"/>
        <v>0</v>
      </c>
      <c r="F174" s="268">
        <f>18075-18075</f>
        <v>0</v>
      </c>
      <c r="G174" s="222"/>
      <c r="H174" s="222"/>
      <c r="I174" s="222"/>
      <c r="J174" s="222"/>
      <c r="K174" s="222"/>
      <c r="L174" s="222"/>
    </row>
    <row r="175" spans="1:12">
      <c r="A175" s="220" t="s">
        <v>192</v>
      </c>
      <c r="B175" s="222">
        <v>101832932</v>
      </c>
      <c r="C175" s="220" t="s">
        <v>529</v>
      </c>
      <c r="D175" s="212">
        <v>44866</v>
      </c>
      <c r="E175" s="256">
        <f t="shared" si="2"/>
        <v>22656</v>
      </c>
      <c r="F175" s="260">
        <v>22656</v>
      </c>
      <c r="G175" s="222"/>
      <c r="H175" s="222"/>
      <c r="I175" s="222"/>
      <c r="J175" s="222"/>
      <c r="K175" s="222"/>
      <c r="L175" s="222"/>
    </row>
    <row r="176" spans="1:12">
      <c r="A176" s="220" t="s">
        <v>531</v>
      </c>
      <c r="B176" s="222">
        <v>130003866</v>
      </c>
      <c r="C176" s="220" t="s">
        <v>530</v>
      </c>
      <c r="D176" s="212">
        <v>45957</v>
      </c>
      <c r="E176" s="256">
        <f t="shared" si="2"/>
        <v>0</v>
      </c>
      <c r="F176" s="260">
        <f>286413-286413</f>
        <v>0</v>
      </c>
      <c r="G176" s="222"/>
      <c r="H176" s="222"/>
      <c r="I176" s="222"/>
      <c r="J176" s="222"/>
      <c r="K176" s="222"/>
      <c r="L176" s="222"/>
    </row>
    <row r="177" spans="1:12">
      <c r="A177" s="220" t="s">
        <v>198</v>
      </c>
      <c r="B177" s="222">
        <v>131860028</v>
      </c>
      <c r="C177" s="238" t="s">
        <v>532</v>
      </c>
      <c r="D177" s="237">
        <v>45959</v>
      </c>
      <c r="E177" s="256">
        <f t="shared" si="2"/>
        <v>0</v>
      </c>
      <c r="F177" s="262"/>
      <c r="G177" s="262">
        <f>31500-31500</f>
        <v>0</v>
      </c>
      <c r="H177" s="222"/>
      <c r="I177" s="222"/>
      <c r="J177" s="222"/>
      <c r="K177" s="222"/>
      <c r="L177" s="222"/>
    </row>
    <row r="178" spans="1:12" ht="15.75">
      <c r="A178" s="238" t="s">
        <v>534</v>
      </c>
      <c r="B178" s="269">
        <v>130791457</v>
      </c>
      <c r="C178" s="220" t="s">
        <v>533</v>
      </c>
      <c r="D178" s="239">
        <v>45939</v>
      </c>
      <c r="E178" s="256">
        <f t="shared" si="2"/>
        <v>0</v>
      </c>
      <c r="F178" s="268">
        <f>100000-100000</f>
        <v>0</v>
      </c>
      <c r="G178" s="222"/>
      <c r="H178" s="222"/>
      <c r="I178" s="222"/>
      <c r="J178" s="222"/>
      <c r="K178" s="222"/>
      <c r="L178" s="222"/>
    </row>
    <row r="179" spans="1:12">
      <c r="A179" s="214" t="s">
        <v>754</v>
      </c>
      <c r="B179" s="222">
        <v>130681432</v>
      </c>
      <c r="C179" s="220" t="s">
        <v>535</v>
      </c>
      <c r="D179" s="239">
        <v>45852</v>
      </c>
      <c r="E179" s="256">
        <f t="shared" si="2"/>
        <v>0</v>
      </c>
      <c r="F179" s="268">
        <f>80033.5-80033.5</f>
        <v>0</v>
      </c>
      <c r="G179" s="222"/>
      <c r="H179" s="222"/>
      <c r="I179" s="222"/>
      <c r="J179" s="222"/>
      <c r="K179" s="222"/>
      <c r="L179" s="222"/>
    </row>
    <row r="180" spans="1:12">
      <c r="A180" s="214" t="s">
        <v>754</v>
      </c>
      <c r="B180" s="222">
        <v>130681432</v>
      </c>
      <c r="C180" s="220" t="s">
        <v>537</v>
      </c>
      <c r="D180" s="212">
        <v>45902</v>
      </c>
      <c r="E180" s="256">
        <f t="shared" si="2"/>
        <v>0</v>
      </c>
      <c r="F180" s="260">
        <f>97500-97500</f>
        <v>0</v>
      </c>
      <c r="G180" s="222"/>
      <c r="H180" s="222"/>
      <c r="I180" s="222"/>
      <c r="J180" s="222"/>
      <c r="K180" s="222"/>
      <c r="L180" s="222"/>
    </row>
    <row r="181" spans="1:12">
      <c r="A181" s="238" t="s">
        <v>213</v>
      </c>
      <c r="B181" s="222">
        <v>101196017</v>
      </c>
      <c r="C181" s="220" t="s">
        <v>538</v>
      </c>
      <c r="D181" s="239">
        <v>45322</v>
      </c>
      <c r="E181" s="256">
        <f t="shared" si="2"/>
        <v>0</v>
      </c>
      <c r="F181" s="270">
        <f>25193-25193</f>
        <v>0</v>
      </c>
      <c r="G181" s="222"/>
      <c r="H181" s="222"/>
      <c r="I181" s="222"/>
      <c r="J181" s="222"/>
      <c r="K181" s="222"/>
      <c r="L181" s="222"/>
    </row>
    <row r="182" spans="1:12">
      <c r="A182" s="220" t="s">
        <v>540</v>
      </c>
      <c r="B182" s="222">
        <v>101012803</v>
      </c>
      <c r="C182" s="214" t="s">
        <v>539</v>
      </c>
      <c r="D182" s="218">
        <v>45895</v>
      </c>
      <c r="E182" s="256">
        <f t="shared" si="2"/>
        <v>0</v>
      </c>
      <c r="F182" s="263">
        <f>32497.2-32497.2</f>
        <v>0</v>
      </c>
      <c r="G182" s="222"/>
      <c r="H182" s="222"/>
      <c r="I182" s="222"/>
      <c r="J182" s="222"/>
      <c r="K182" s="222"/>
      <c r="L182" s="222"/>
    </row>
    <row r="183" spans="1:12">
      <c r="A183" s="220" t="s">
        <v>540</v>
      </c>
      <c r="B183" s="222">
        <v>101012803</v>
      </c>
      <c r="C183" s="214" t="s">
        <v>541</v>
      </c>
      <c r="D183" s="218">
        <v>45929</v>
      </c>
      <c r="E183" s="256">
        <f t="shared" si="2"/>
        <v>0</v>
      </c>
      <c r="F183" s="263">
        <f>51471.6-51471.6</f>
        <v>0</v>
      </c>
      <c r="G183" s="222"/>
      <c r="H183" s="222"/>
      <c r="I183" s="222"/>
      <c r="J183" s="222"/>
      <c r="K183" s="222"/>
      <c r="L183" s="222"/>
    </row>
    <row r="184" spans="1:12">
      <c r="A184" s="220" t="s">
        <v>540</v>
      </c>
      <c r="B184" s="222">
        <v>101012803</v>
      </c>
      <c r="C184" s="214" t="s">
        <v>542</v>
      </c>
      <c r="D184" s="218">
        <v>45933</v>
      </c>
      <c r="E184" s="256">
        <f t="shared" si="2"/>
        <v>0</v>
      </c>
      <c r="F184" s="263">
        <f>6726-6726</f>
        <v>0</v>
      </c>
      <c r="G184" s="222"/>
      <c r="H184" s="222"/>
      <c r="I184" s="222"/>
      <c r="J184" s="222"/>
      <c r="K184" s="222"/>
      <c r="L184" s="222"/>
    </row>
    <row r="185" spans="1:12">
      <c r="A185" s="220" t="s">
        <v>540</v>
      </c>
      <c r="B185" s="222">
        <v>101012803</v>
      </c>
      <c r="C185" s="214" t="s">
        <v>543</v>
      </c>
      <c r="D185" s="218">
        <v>45944</v>
      </c>
      <c r="E185" s="256">
        <f t="shared" si="2"/>
        <v>0</v>
      </c>
      <c r="F185" s="263">
        <f>9227.6-9227.6</f>
        <v>0</v>
      </c>
      <c r="G185" s="222"/>
      <c r="H185" s="222"/>
      <c r="I185" s="222"/>
      <c r="J185" s="222"/>
      <c r="K185" s="222"/>
      <c r="L185" s="222"/>
    </row>
    <row r="186" spans="1:12">
      <c r="A186" s="220" t="s">
        <v>220</v>
      </c>
      <c r="B186" s="222">
        <v>1306814332</v>
      </c>
      <c r="C186" s="220" t="s">
        <v>544</v>
      </c>
      <c r="D186" s="212">
        <v>45902</v>
      </c>
      <c r="E186" s="256">
        <f t="shared" si="2"/>
        <v>0</v>
      </c>
      <c r="F186" s="263">
        <f>11030-11030</f>
        <v>0</v>
      </c>
      <c r="G186" s="222"/>
      <c r="H186" s="222"/>
      <c r="I186" s="222"/>
      <c r="J186" s="222"/>
      <c r="K186" s="222"/>
      <c r="L186" s="222"/>
    </row>
    <row r="187" spans="1:12">
      <c r="A187" s="220" t="s">
        <v>220</v>
      </c>
      <c r="B187" s="222">
        <v>1306814332</v>
      </c>
      <c r="C187" s="220" t="s">
        <v>545</v>
      </c>
      <c r="D187" s="212">
        <v>45953</v>
      </c>
      <c r="E187" s="256">
        <f t="shared" si="2"/>
        <v>35285.01</v>
      </c>
      <c r="F187" s="263">
        <v>35285.01</v>
      </c>
      <c r="G187" s="222"/>
      <c r="H187" s="222"/>
      <c r="I187" s="222"/>
      <c r="J187" s="222"/>
      <c r="K187" s="222"/>
      <c r="L187" s="222"/>
    </row>
    <row r="188" spans="1:12">
      <c r="A188" s="220" t="s">
        <v>220</v>
      </c>
      <c r="B188" s="222">
        <v>1306814332</v>
      </c>
      <c r="C188" s="220" t="s">
        <v>546</v>
      </c>
      <c r="D188" s="212">
        <v>45953</v>
      </c>
      <c r="E188" s="256">
        <f t="shared" si="2"/>
        <v>100000</v>
      </c>
      <c r="F188" s="263">
        <v>100000</v>
      </c>
      <c r="G188" s="222"/>
      <c r="H188" s="222"/>
      <c r="I188" s="222"/>
      <c r="J188" s="222"/>
      <c r="K188" s="222"/>
      <c r="L188" s="222"/>
    </row>
    <row r="189" spans="1:12">
      <c r="A189" s="238" t="s">
        <v>223</v>
      </c>
      <c r="B189" s="222">
        <v>130468516</v>
      </c>
      <c r="C189" s="214" t="s">
        <v>547</v>
      </c>
      <c r="D189" s="218">
        <v>45940</v>
      </c>
      <c r="E189" s="256">
        <f t="shared" si="2"/>
        <v>0</v>
      </c>
      <c r="F189" s="263"/>
      <c r="G189" s="222"/>
      <c r="H189" s="263">
        <f>15000-15000</f>
        <v>0</v>
      </c>
      <c r="I189" s="222"/>
      <c r="J189" s="222"/>
      <c r="K189" s="222"/>
      <c r="L189" s="222"/>
    </row>
    <row r="190" spans="1:12">
      <c r="A190" s="238" t="s">
        <v>223</v>
      </c>
      <c r="B190" s="222">
        <v>130468516</v>
      </c>
      <c r="C190" s="214" t="s">
        <v>548</v>
      </c>
      <c r="D190" s="218">
        <v>45959</v>
      </c>
      <c r="E190" s="256">
        <f t="shared" si="2"/>
        <v>0</v>
      </c>
      <c r="F190" s="263"/>
      <c r="G190" s="222"/>
      <c r="H190" s="263">
        <f>144500-144500</f>
        <v>0</v>
      </c>
      <c r="I190" s="222"/>
      <c r="J190" s="222"/>
      <c r="K190" s="222"/>
      <c r="L190" s="222"/>
    </row>
    <row r="191" spans="1:12">
      <c r="A191" s="212" t="s">
        <v>550</v>
      </c>
      <c r="B191" s="222">
        <v>130684286</v>
      </c>
      <c r="C191" s="226" t="s">
        <v>549</v>
      </c>
      <c r="D191" s="226">
        <v>45923</v>
      </c>
      <c r="E191" s="256">
        <f t="shared" si="2"/>
        <v>0</v>
      </c>
      <c r="F191" s="263">
        <f>22140-22140</f>
        <v>0</v>
      </c>
      <c r="G191" s="222"/>
      <c r="H191" s="222"/>
      <c r="I191" s="222"/>
      <c r="J191" s="222"/>
      <c r="K191" s="222"/>
      <c r="L191" s="222"/>
    </row>
    <row r="192" spans="1:12">
      <c r="A192" s="212" t="s">
        <v>550</v>
      </c>
      <c r="B192" s="222">
        <v>130684286</v>
      </c>
      <c r="C192" s="226" t="s">
        <v>551</v>
      </c>
      <c r="D192" s="226">
        <v>45958</v>
      </c>
      <c r="E192" s="256">
        <f t="shared" si="2"/>
        <v>0</v>
      </c>
      <c r="F192" s="263">
        <f>22850-22850</f>
        <v>0</v>
      </c>
      <c r="G192" s="222"/>
      <c r="H192" s="222"/>
      <c r="I192" s="222"/>
      <c r="J192" s="222"/>
      <c r="K192" s="222"/>
      <c r="L192" s="222"/>
    </row>
    <row r="193" spans="1:12">
      <c r="A193" s="212" t="s">
        <v>550</v>
      </c>
      <c r="B193" s="222">
        <v>130684286</v>
      </c>
      <c r="C193" s="226" t="s">
        <v>552</v>
      </c>
      <c r="D193" s="226">
        <v>45958</v>
      </c>
      <c r="E193" s="256">
        <f t="shared" si="2"/>
        <v>0</v>
      </c>
      <c r="F193" s="263">
        <f>7500-7500</f>
        <v>0</v>
      </c>
      <c r="G193" s="222"/>
      <c r="H193" s="264"/>
      <c r="I193" s="222"/>
      <c r="J193" s="222"/>
      <c r="K193" s="222"/>
      <c r="L193" s="222"/>
    </row>
    <row r="194" spans="1:12">
      <c r="A194" s="214" t="s">
        <v>234</v>
      </c>
      <c r="B194" s="222">
        <v>130047901</v>
      </c>
      <c r="C194" s="214" t="s">
        <v>553</v>
      </c>
      <c r="D194" s="226">
        <v>45804</v>
      </c>
      <c r="E194" s="256">
        <f t="shared" si="2"/>
        <v>6960</v>
      </c>
      <c r="F194" s="263">
        <v>6960</v>
      </c>
      <c r="G194" s="222"/>
      <c r="H194" s="222"/>
      <c r="I194" s="222"/>
      <c r="J194" s="222"/>
      <c r="K194" s="222"/>
      <c r="L194" s="222"/>
    </row>
    <row r="195" spans="1:12">
      <c r="A195" s="222" t="s">
        <v>755</v>
      </c>
      <c r="B195" s="222">
        <v>131319114</v>
      </c>
      <c r="C195" s="214" t="s">
        <v>554</v>
      </c>
      <c r="D195" s="218">
        <v>45911</v>
      </c>
      <c r="E195" s="256">
        <f t="shared" si="2"/>
        <v>0</v>
      </c>
      <c r="F195" s="264"/>
      <c r="G195" s="264">
        <f>26000-26000</f>
        <v>0</v>
      </c>
      <c r="H195" s="222"/>
      <c r="I195" s="222"/>
      <c r="J195" s="222"/>
      <c r="K195" s="222"/>
      <c r="L195" s="222"/>
    </row>
    <row r="196" spans="1:12">
      <c r="A196" s="222" t="s">
        <v>249</v>
      </c>
      <c r="B196" s="222">
        <v>101033738</v>
      </c>
      <c r="C196" s="214" t="s">
        <v>556</v>
      </c>
      <c r="D196" s="218">
        <v>45922</v>
      </c>
      <c r="E196" s="256">
        <f t="shared" si="2"/>
        <v>0</v>
      </c>
      <c r="F196" s="264">
        <f>46574.08-46574.08</f>
        <v>0</v>
      </c>
      <c r="G196" s="222"/>
      <c r="H196" s="222"/>
      <c r="I196" s="222"/>
      <c r="J196" s="222"/>
      <c r="K196" s="222"/>
      <c r="L196" s="222"/>
    </row>
    <row r="197" spans="1:12">
      <c r="A197" s="214" t="s">
        <v>17</v>
      </c>
      <c r="B197" s="222" t="s">
        <v>557</v>
      </c>
      <c r="C197" s="214" t="s">
        <v>557</v>
      </c>
      <c r="D197" s="214" t="s">
        <v>557</v>
      </c>
      <c r="E197" s="256">
        <f t="shared" si="2"/>
        <v>105700</v>
      </c>
      <c r="F197" s="263">
        <f>79012.5+2637.5+1187.5+1187.5+1187.5+2912.5+2337.5+1187.5+1187.5+12862.5</f>
        <v>105700</v>
      </c>
      <c r="G197" s="222"/>
      <c r="H197" s="222"/>
      <c r="I197" s="222"/>
      <c r="J197" s="222"/>
      <c r="K197" s="222"/>
      <c r="L197" s="222"/>
    </row>
    <row r="198" spans="1:12">
      <c r="A198" s="222" t="s">
        <v>251</v>
      </c>
      <c r="B198" s="222">
        <v>131950922</v>
      </c>
      <c r="C198" s="214" t="s">
        <v>558</v>
      </c>
      <c r="D198" s="218">
        <v>45901</v>
      </c>
      <c r="E198" s="256">
        <f t="shared" si="2"/>
        <v>0</v>
      </c>
      <c r="F198" s="264">
        <f>278480-278480</f>
        <v>0</v>
      </c>
      <c r="G198" s="222"/>
      <c r="H198" s="222"/>
      <c r="I198" s="222"/>
      <c r="J198" s="222"/>
      <c r="K198" s="222"/>
      <c r="L198" s="222"/>
    </row>
    <row r="199" spans="1:12">
      <c r="A199" s="222" t="s">
        <v>251</v>
      </c>
      <c r="B199" s="222">
        <v>131950922</v>
      </c>
      <c r="C199" s="214" t="s">
        <v>559</v>
      </c>
      <c r="D199" s="218">
        <v>45943</v>
      </c>
      <c r="E199" s="256">
        <f t="shared" si="2"/>
        <v>0</v>
      </c>
      <c r="F199" s="264">
        <f>37760-37760</f>
        <v>0</v>
      </c>
      <c r="G199" s="222"/>
      <c r="H199" s="222"/>
      <c r="I199" s="222"/>
      <c r="J199" s="222"/>
      <c r="K199" s="222"/>
      <c r="L199" s="222"/>
    </row>
    <row r="200" spans="1:12">
      <c r="A200" s="222" t="s">
        <v>561</v>
      </c>
      <c r="B200" s="222">
        <v>101070587</v>
      </c>
      <c r="C200" s="214" t="s">
        <v>560</v>
      </c>
      <c r="D200" s="218">
        <v>45958</v>
      </c>
      <c r="E200" s="256">
        <f t="shared" si="2"/>
        <v>110656.03</v>
      </c>
      <c r="F200" s="264">
        <v>110656.03</v>
      </c>
      <c r="G200" s="222"/>
      <c r="H200" s="222"/>
      <c r="I200" s="222"/>
      <c r="J200" s="222"/>
      <c r="K200" s="222"/>
      <c r="L200" s="222"/>
    </row>
    <row r="201" spans="1:12">
      <c r="A201" s="222" t="s">
        <v>262</v>
      </c>
      <c r="B201" s="222">
        <v>101001577</v>
      </c>
      <c r="C201" s="214" t="s">
        <v>562</v>
      </c>
      <c r="D201" s="218">
        <v>45910</v>
      </c>
      <c r="E201" s="256">
        <f t="shared" si="2"/>
        <v>0</v>
      </c>
      <c r="F201" s="264">
        <f>46855.12-46855.12</f>
        <v>0</v>
      </c>
      <c r="G201" s="222"/>
      <c r="H201" s="222"/>
      <c r="I201" s="222"/>
      <c r="J201" s="222"/>
      <c r="K201" s="222"/>
      <c r="L201" s="222"/>
    </row>
    <row r="202" spans="1:12">
      <c r="A202" s="222" t="s">
        <v>262</v>
      </c>
      <c r="B202" s="222">
        <v>101001577</v>
      </c>
      <c r="C202" s="214" t="s">
        <v>563</v>
      </c>
      <c r="D202" s="218">
        <v>45910</v>
      </c>
      <c r="E202" s="256">
        <f t="shared" si="2"/>
        <v>0</v>
      </c>
      <c r="F202" s="264">
        <f>2879.09-2879.09</f>
        <v>0</v>
      </c>
      <c r="G202" s="222"/>
      <c r="H202" s="222"/>
      <c r="I202" s="222"/>
      <c r="J202" s="222"/>
      <c r="K202" s="222"/>
      <c r="L202" s="222"/>
    </row>
    <row r="203" spans="1:12">
      <c r="A203" s="222" t="s">
        <v>269</v>
      </c>
      <c r="B203" s="222">
        <v>132408896</v>
      </c>
      <c r="C203" s="214" t="s">
        <v>564</v>
      </c>
      <c r="D203" s="218">
        <v>45954</v>
      </c>
      <c r="E203" s="256">
        <f t="shared" si="2"/>
        <v>0</v>
      </c>
      <c r="F203" s="264">
        <f>37760-37760</f>
        <v>0</v>
      </c>
      <c r="G203" s="222"/>
      <c r="H203" s="222"/>
      <c r="I203" s="222"/>
      <c r="J203" s="222"/>
      <c r="K203" s="222"/>
      <c r="L203" s="222"/>
    </row>
    <row r="204" spans="1:12">
      <c r="A204" s="220" t="s">
        <v>273</v>
      </c>
      <c r="B204" s="222">
        <v>132380061</v>
      </c>
      <c r="C204" s="222" t="s">
        <v>565</v>
      </c>
      <c r="D204" s="218">
        <v>45961</v>
      </c>
      <c r="E204" s="256">
        <f t="shared" si="2"/>
        <v>73818.45</v>
      </c>
      <c r="F204" s="264">
        <v>73818.45</v>
      </c>
      <c r="G204" s="222"/>
      <c r="H204" s="222"/>
      <c r="I204" s="222"/>
      <c r="J204" s="222"/>
      <c r="K204" s="222"/>
      <c r="L204" s="222"/>
    </row>
    <row r="205" spans="1:12">
      <c r="A205" s="220" t="s">
        <v>273</v>
      </c>
      <c r="B205" s="222">
        <v>132380061</v>
      </c>
      <c r="C205" s="222" t="s">
        <v>566</v>
      </c>
      <c r="D205" s="218">
        <v>45923</v>
      </c>
      <c r="E205" s="256">
        <f t="shared" si="2"/>
        <v>0</v>
      </c>
      <c r="F205" s="264">
        <f>62824.05-62824.05</f>
        <v>0</v>
      </c>
      <c r="G205" s="222"/>
      <c r="H205" s="222"/>
      <c r="I205" s="222"/>
      <c r="J205" s="222"/>
      <c r="K205" s="222"/>
      <c r="L205" s="222"/>
    </row>
    <row r="206" spans="1:12">
      <c r="A206" s="220" t="s">
        <v>273</v>
      </c>
      <c r="B206" s="222">
        <v>132380061</v>
      </c>
      <c r="C206" s="222" t="s">
        <v>567</v>
      </c>
      <c r="D206" s="218">
        <v>45932</v>
      </c>
      <c r="E206" s="256">
        <f t="shared" si="2"/>
        <v>0</v>
      </c>
      <c r="F206" s="264">
        <f>11070-11070</f>
        <v>0</v>
      </c>
      <c r="G206" s="222"/>
      <c r="H206" s="222"/>
      <c r="I206" s="222"/>
      <c r="J206" s="222"/>
      <c r="K206" s="222"/>
      <c r="L206" s="222"/>
    </row>
    <row r="207" spans="1:12">
      <c r="A207" s="220" t="s">
        <v>273</v>
      </c>
      <c r="B207" s="222">
        <v>132380061</v>
      </c>
      <c r="C207" s="222" t="s">
        <v>568</v>
      </c>
      <c r="D207" s="218">
        <v>45931</v>
      </c>
      <c r="E207" s="256">
        <f t="shared" si="2"/>
        <v>0</v>
      </c>
      <c r="F207" s="264">
        <f>251096-251096</f>
        <v>0</v>
      </c>
      <c r="G207" s="222"/>
      <c r="H207" s="222"/>
      <c r="I207" s="222"/>
      <c r="J207" s="222"/>
      <c r="K207" s="222"/>
      <c r="L207" s="222"/>
    </row>
    <row r="208" spans="1:12">
      <c r="A208" s="222" t="s">
        <v>275</v>
      </c>
      <c r="B208" s="222">
        <v>4900396021</v>
      </c>
      <c r="C208" s="222" t="s">
        <v>569</v>
      </c>
      <c r="D208" s="218">
        <v>45917</v>
      </c>
      <c r="E208" s="256">
        <f t="shared" si="2"/>
        <v>20414</v>
      </c>
      <c r="F208" s="264">
        <v>20414</v>
      </c>
      <c r="G208" s="222"/>
      <c r="H208" s="222"/>
      <c r="I208" s="222"/>
      <c r="J208" s="222"/>
      <c r="K208" s="222"/>
      <c r="L208" s="222"/>
    </row>
    <row r="209" spans="1:12">
      <c r="A209" s="220" t="s">
        <v>285</v>
      </c>
      <c r="B209" s="222">
        <v>101148985</v>
      </c>
      <c r="C209" s="214"/>
      <c r="D209" s="218">
        <v>45943</v>
      </c>
      <c r="E209" s="256">
        <f t="shared" si="2"/>
        <v>0</v>
      </c>
      <c r="F209" s="264">
        <f>26943.36-26943.36</f>
        <v>0</v>
      </c>
      <c r="G209" s="222"/>
      <c r="H209" s="222"/>
      <c r="I209" s="222"/>
      <c r="J209" s="222"/>
      <c r="K209" s="222"/>
      <c r="L209" s="222"/>
    </row>
    <row r="210" spans="1:12">
      <c r="A210" s="220" t="s">
        <v>305</v>
      </c>
      <c r="B210" s="222">
        <v>130677581</v>
      </c>
      <c r="C210" s="214" t="s">
        <v>570</v>
      </c>
      <c r="D210" s="218">
        <v>45929</v>
      </c>
      <c r="E210" s="256">
        <f t="shared" si="2"/>
        <v>0</v>
      </c>
      <c r="F210" s="264">
        <f>31399.94-31399.94</f>
        <v>0</v>
      </c>
      <c r="G210" s="222"/>
      <c r="H210" s="222"/>
      <c r="I210" s="222"/>
      <c r="J210" s="222"/>
      <c r="K210" s="222"/>
      <c r="L210" s="222"/>
    </row>
    <row r="211" spans="1:12">
      <c r="A211" s="220" t="s">
        <v>311</v>
      </c>
      <c r="B211" s="222">
        <v>117840652</v>
      </c>
      <c r="C211" s="222" t="s">
        <v>571</v>
      </c>
      <c r="D211" s="218">
        <v>45933</v>
      </c>
      <c r="E211" s="256">
        <f t="shared" si="2"/>
        <v>0</v>
      </c>
      <c r="F211" s="264">
        <f>53400-53400</f>
        <v>0</v>
      </c>
      <c r="G211" s="222"/>
      <c r="H211" s="222"/>
      <c r="I211" s="222"/>
      <c r="J211" s="222"/>
      <c r="K211" s="222"/>
      <c r="L211" s="222"/>
    </row>
    <row r="212" spans="1:12">
      <c r="A212" s="220" t="s">
        <v>311</v>
      </c>
      <c r="B212" s="222">
        <v>117840652</v>
      </c>
      <c r="C212" s="222" t="s">
        <v>572</v>
      </c>
      <c r="D212" s="218">
        <v>45933</v>
      </c>
      <c r="E212" s="256">
        <f t="shared" si="2"/>
        <v>0</v>
      </c>
      <c r="F212" s="264">
        <f>527884-527884</f>
        <v>0</v>
      </c>
      <c r="G212" s="222"/>
      <c r="H212" s="222"/>
      <c r="I212" s="222"/>
      <c r="J212" s="222"/>
      <c r="K212" s="222"/>
      <c r="L212" s="222"/>
    </row>
    <row r="213" spans="1:12">
      <c r="A213" s="220" t="s">
        <v>311</v>
      </c>
      <c r="B213" s="222">
        <v>117840652</v>
      </c>
      <c r="C213" s="222" t="s">
        <v>573</v>
      </c>
      <c r="D213" s="218">
        <v>45933</v>
      </c>
      <c r="E213" s="256">
        <f t="shared" si="2"/>
        <v>0</v>
      </c>
      <c r="F213" s="264">
        <f>563012-563012</f>
        <v>0</v>
      </c>
      <c r="G213" s="222"/>
      <c r="H213" s="222"/>
      <c r="I213" s="222"/>
      <c r="J213" s="222"/>
      <c r="K213" s="222"/>
      <c r="L213" s="222"/>
    </row>
    <row r="214" spans="1:12">
      <c r="A214" s="220" t="s">
        <v>330</v>
      </c>
      <c r="B214" s="222">
        <v>131241077</v>
      </c>
      <c r="C214" s="214" t="s">
        <v>574</v>
      </c>
      <c r="D214" s="218">
        <v>45954</v>
      </c>
      <c r="E214" s="256">
        <f t="shared" ref="E214:E279" si="3">SUM(F214:J214)</f>
        <v>0</v>
      </c>
      <c r="F214" s="264">
        <f>49843.2-49843.2</f>
        <v>0</v>
      </c>
      <c r="G214" s="222"/>
      <c r="H214" s="222"/>
      <c r="I214" s="222"/>
      <c r="J214" s="222"/>
      <c r="K214" s="222"/>
      <c r="L214" s="222"/>
    </row>
    <row r="215" spans="1:12" ht="15.75">
      <c r="A215" s="220" t="s">
        <v>334</v>
      </c>
      <c r="B215" s="269">
        <v>131792022</v>
      </c>
      <c r="C215" s="220" t="s">
        <v>575</v>
      </c>
      <c r="D215" s="212">
        <v>45932</v>
      </c>
      <c r="E215" s="256">
        <f t="shared" si="3"/>
        <v>0</v>
      </c>
      <c r="F215" s="260">
        <f>300000-300000</f>
        <v>0</v>
      </c>
      <c r="G215" s="222"/>
      <c r="H215" s="222"/>
      <c r="I215" s="222"/>
      <c r="J215" s="222"/>
      <c r="K215" s="222"/>
      <c r="L215" s="222"/>
    </row>
    <row r="216" spans="1:12">
      <c r="A216" s="220" t="s">
        <v>350</v>
      </c>
      <c r="B216" s="222">
        <v>133070502</v>
      </c>
      <c r="C216" s="220" t="s">
        <v>576</v>
      </c>
      <c r="D216" s="212">
        <v>45945</v>
      </c>
      <c r="E216" s="256">
        <f t="shared" si="3"/>
        <v>0</v>
      </c>
      <c r="F216" s="260">
        <f>94551.04-94551.04</f>
        <v>0</v>
      </c>
      <c r="G216" s="222"/>
      <c r="H216" s="222"/>
      <c r="I216" s="222"/>
      <c r="J216" s="222"/>
      <c r="K216" s="222"/>
      <c r="L216" s="222"/>
    </row>
    <row r="217" spans="1:12">
      <c r="A217" s="220" t="s">
        <v>578</v>
      </c>
      <c r="B217" s="222">
        <v>133087723</v>
      </c>
      <c r="C217" s="220" t="s">
        <v>577</v>
      </c>
      <c r="D217" s="212">
        <v>45932</v>
      </c>
      <c r="E217" s="256">
        <f t="shared" si="3"/>
        <v>0</v>
      </c>
      <c r="F217" s="260">
        <f>70700-70700</f>
        <v>0</v>
      </c>
      <c r="G217" s="222"/>
      <c r="H217" s="222"/>
      <c r="I217" s="222"/>
      <c r="J217" s="222"/>
      <c r="K217" s="222"/>
      <c r="L217" s="222"/>
    </row>
    <row r="218" spans="1:12">
      <c r="A218" s="220" t="s">
        <v>578</v>
      </c>
      <c r="B218" s="222">
        <v>133087723</v>
      </c>
      <c r="C218" s="220" t="s">
        <v>579</v>
      </c>
      <c r="D218" s="212">
        <v>45960</v>
      </c>
      <c r="E218" s="256">
        <f t="shared" si="3"/>
        <v>0</v>
      </c>
      <c r="F218" s="260">
        <f>42590-42590</f>
        <v>0</v>
      </c>
      <c r="G218" s="222"/>
      <c r="H218" s="222"/>
      <c r="I218" s="222"/>
      <c r="J218" s="222"/>
      <c r="K218" s="222"/>
      <c r="L218" s="222"/>
    </row>
    <row r="219" spans="1:12">
      <c r="A219" s="220" t="s">
        <v>578</v>
      </c>
      <c r="B219" s="222">
        <v>133087723</v>
      </c>
      <c r="C219" s="220" t="s">
        <v>580</v>
      </c>
      <c r="D219" s="212">
        <v>45960</v>
      </c>
      <c r="E219" s="256">
        <f t="shared" si="3"/>
        <v>0</v>
      </c>
      <c r="F219" s="260">
        <f>15300-15300</f>
        <v>0</v>
      </c>
      <c r="G219" s="222"/>
      <c r="H219" s="222"/>
      <c r="I219" s="222"/>
      <c r="J219" s="222"/>
      <c r="K219" s="222"/>
      <c r="L219" s="222"/>
    </row>
    <row r="220" spans="1:12">
      <c r="A220" s="220" t="s">
        <v>361</v>
      </c>
      <c r="B220" s="222"/>
      <c r="C220" s="222" t="s">
        <v>581</v>
      </c>
      <c r="D220" s="218">
        <v>45901</v>
      </c>
      <c r="E220" s="256">
        <f t="shared" si="3"/>
        <v>0</v>
      </c>
      <c r="F220" s="264">
        <f>18500-18500</f>
        <v>0</v>
      </c>
      <c r="G220" s="222"/>
      <c r="H220" s="222"/>
      <c r="I220" s="222"/>
      <c r="J220" s="222"/>
      <c r="K220" s="222"/>
      <c r="L220" s="222"/>
    </row>
    <row r="221" spans="1:12">
      <c r="A221" s="222" t="s">
        <v>365</v>
      </c>
      <c r="B221" s="222">
        <v>131007562</v>
      </c>
      <c r="C221" s="214" t="s">
        <v>582</v>
      </c>
      <c r="D221" s="218">
        <v>45959</v>
      </c>
      <c r="E221" s="256">
        <f t="shared" si="3"/>
        <v>0</v>
      </c>
      <c r="F221" s="264">
        <f>29300-29300</f>
        <v>0</v>
      </c>
      <c r="G221" s="222"/>
      <c r="H221" s="222"/>
      <c r="I221" s="222"/>
      <c r="J221" s="222"/>
      <c r="K221" s="222"/>
      <c r="L221" s="222"/>
    </row>
    <row r="222" spans="1:12">
      <c r="A222" s="222" t="s">
        <v>365</v>
      </c>
      <c r="B222" s="222">
        <v>131007562</v>
      </c>
      <c r="C222" s="214"/>
      <c r="D222" s="218">
        <v>45919</v>
      </c>
      <c r="E222" s="256">
        <f t="shared" si="3"/>
        <v>0</v>
      </c>
      <c r="F222" s="264">
        <f>153220.65-153220.65</f>
        <v>0</v>
      </c>
      <c r="G222" s="222"/>
      <c r="H222" s="222"/>
      <c r="I222" s="222"/>
      <c r="J222" s="222"/>
      <c r="K222" s="222"/>
      <c r="L222" s="222"/>
    </row>
    <row r="223" spans="1:12">
      <c r="A223" s="222" t="s">
        <v>365</v>
      </c>
      <c r="B223" s="222">
        <v>131007562</v>
      </c>
      <c r="C223" s="214"/>
      <c r="D223" s="218">
        <v>45944</v>
      </c>
      <c r="E223" s="256">
        <f t="shared" si="3"/>
        <v>0</v>
      </c>
      <c r="F223" s="264">
        <f>153220.65-153220.65</f>
        <v>0</v>
      </c>
      <c r="G223" s="222"/>
      <c r="H223" s="222"/>
      <c r="I223" s="222"/>
      <c r="J223" s="222"/>
      <c r="K223" s="222"/>
      <c r="L223" s="222"/>
    </row>
    <row r="224" spans="1:12">
      <c r="A224" s="222" t="s">
        <v>584</v>
      </c>
      <c r="B224" s="222">
        <v>131224881</v>
      </c>
      <c r="C224" s="214" t="s">
        <v>583</v>
      </c>
      <c r="D224" s="218">
        <v>45936</v>
      </c>
      <c r="E224" s="256">
        <f t="shared" si="3"/>
        <v>0</v>
      </c>
      <c r="F224" s="264">
        <f>7500-7500</f>
        <v>0</v>
      </c>
      <c r="G224" s="222"/>
      <c r="H224" s="222"/>
      <c r="I224" s="222"/>
      <c r="J224" s="222"/>
      <c r="K224" s="222"/>
      <c r="L224" s="222"/>
    </row>
    <row r="225" spans="1:12">
      <c r="A225" s="222" t="s">
        <v>585</v>
      </c>
      <c r="B225" s="222"/>
      <c r="C225" s="222"/>
      <c r="D225" s="218">
        <v>45964</v>
      </c>
      <c r="E225" s="256">
        <f t="shared" si="3"/>
        <v>0</v>
      </c>
      <c r="F225" s="222">
        <f>7000-7000</f>
        <v>0</v>
      </c>
      <c r="G225" s="222"/>
      <c r="H225" s="222"/>
      <c r="I225" s="222"/>
      <c r="J225" s="222"/>
      <c r="K225" s="222"/>
      <c r="L225" s="222"/>
    </row>
    <row r="226" spans="1:12">
      <c r="A226" s="222" t="s">
        <v>245</v>
      </c>
      <c r="B226" s="222"/>
      <c r="C226" s="222"/>
      <c r="D226" s="218">
        <v>45973</v>
      </c>
      <c r="E226" s="256">
        <f t="shared" si="3"/>
        <v>0</v>
      </c>
      <c r="F226" s="222">
        <f>4800-4800</f>
        <v>0</v>
      </c>
      <c r="G226" s="222"/>
      <c r="H226" s="222"/>
      <c r="I226" s="222"/>
      <c r="J226" s="222"/>
      <c r="K226" s="222"/>
      <c r="L226" s="222"/>
    </row>
    <row r="227" spans="1:12">
      <c r="A227" s="222" t="s">
        <v>245</v>
      </c>
      <c r="B227" s="222"/>
      <c r="C227" s="222"/>
      <c r="D227" s="218">
        <v>45973</v>
      </c>
      <c r="E227" s="256">
        <f t="shared" si="3"/>
        <v>0</v>
      </c>
      <c r="F227" s="222">
        <f>6200-6200</f>
        <v>0</v>
      </c>
      <c r="G227" s="222"/>
      <c r="H227" s="222"/>
      <c r="I227" s="222"/>
      <c r="J227" s="222"/>
      <c r="K227" s="222"/>
      <c r="L227" s="222"/>
    </row>
    <row r="228" spans="1:12">
      <c r="A228" s="222" t="s">
        <v>245</v>
      </c>
      <c r="B228" s="222"/>
      <c r="C228" s="222"/>
      <c r="D228" s="218">
        <v>45973</v>
      </c>
      <c r="E228" s="256">
        <f t="shared" si="3"/>
        <v>0</v>
      </c>
      <c r="F228" s="222">
        <f>4900-4900</f>
        <v>0</v>
      </c>
      <c r="G228" s="222"/>
      <c r="H228" s="222"/>
      <c r="I228" s="222"/>
      <c r="J228" s="222"/>
      <c r="K228" s="222"/>
      <c r="L228" s="222"/>
    </row>
    <row r="229" spans="1:12">
      <c r="A229" s="222" t="s">
        <v>589</v>
      </c>
      <c r="B229" s="222"/>
      <c r="C229" s="222" t="s">
        <v>588</v>
      </c>
      <c r="D229" s="218">
        <v>45957</v>
      </c>
      <c r="E229" s="256">
        <f t="shared" si="3"/>
        <v>0</v>
      </c>
      <c r="F229" s="222">
        <f>251600-251600</f>
        <v>0</v>
      </c>
      <c r="G229" s="222"/>
      <c r="H229" s="222"/>
      <c r="I229" s="222"/>
      <c r="J229" s="222"/>
      <c r="K229" s="222"/>
      <c r="L229" s="222"/>
    </row>
    <row r="230" spans="1:12">
      <c r="A230" s="222" t="s">
        <v>593</v>
      </c>
      <c r="B230" s="222">
        <v>131007562</v>
      </c>
      <c r="C230" s="222" t="s">
        <v>592</v>
      </c>
      <c r="D230" s="218">
        <v>45959</v>
      </c>
      <c r="E230" s="256">
        <f t="shared" si="3"/>
        <v>0</v>
      </c>
      <c r="F230" s="222">
        <f>236477-236477</f>
        <v>0</v>
      </c>
      <c r="G230" s="222"/>
      <c r="H230" s="222"/>
      <c r="I230" s="222"/>
      <c r="J230" s="222"/>
      <c r="K230" s="222"/>
      <c r="L230" s="222"/>
    </row>
    <row r="231" spans="1:12">
      <c r="A231" s="222" t="s">
        <v>311</v>
      </c>
      <c r="B231" s="222">
        <v>117840652</v>
      </c>
      <c r="C231" s="222" t="s">
        <v>595</v>
      </c>
      <c r="D231" s="218">
        <v>45963</v>
      </c>
      <c r="E231" s="256">
        <f t="shared" si="3"/>
        <v>0</v>
      </c>
      <c r="F231" s="222">
        <f>271000-271000</f>
        <v>0</v>
      </c>
      <c r="G231" s="222"/>
      <c r="H231" s="222"/>
      <c r="I231" s="222"/>
      <c r="J231" s="222"/>
      <c r="K231" s="222"/>
      <c r="L231" s="222"/>
    </row>
    <row r="232" spans="1:12">
      <c r="A232" s="222" t="s">
        <v>598</v>
      </c>
      <c r="B232" s="222">
        <v>132730242</v>
      </c>
      <c r="C232" s="222" t="s">
        <v>576</v>
      </c>
      <c r="D232" s="218">
        <v>45963</v>
      </c>
      <c r="E232" s="256">
        <f t="shared" si="3"/>
        <v>56500</v>
      </c>
      <c r="F232" s="222">
        <v>56500</v>
      </c>
      <c r="G232" s="222"/>
      <c r="H232" s="222"/>
      <c r="I232" s="222"/>
      <c r="J232" s="222"/>
      <c r="K232" s="222"/>
      <c r="L232" s="222"/>
    </row>
    <row r="233" spans="1:12">
      <c r="A233" s="222" t="s">
        <v>262</v>
      </c>
      <c r="B233" s="222">
        <v>101001577</v>
      </c>
      <c r="C233" s="222" t="s">
        <v>601</v>
      </c>
      <c r="D233" s="218">
        <v>45971</v>
      </c>
      <c r="E233" s="256">
        <f t="shared" si="3"/>
        <v>0</v>
      </c>
      <c r="F233" s="222">
        <f>3283.48-3283.48</f>
        <v>0</v>
      </c>
      <c r="G233" s="222"/>
      <c r="H233" s="222"/>
      <c r="I233" s="222"/>
      <c r="J233" s="222"/>
      <c r="K233" s="222"/>
      <c r="L233" s="222"/>
    </row>
    <row r="234" spans="1:12">
      <c r="A234" s="222" t="s">
        <v>262</v>
      </c>
      <c r="B234" s="222">
        <v>101001577</v>
      </c>
      <c r="C234" s="222" t="s">
        <v>599</v>
      </c>
      <c r="D234" s="218">
        <v>45971</v>
      </c>
      <c r="E234" s="256">
        <f t="shared" si="3"/>
        <v>0</v>
      </c>
      <c r="F234" s="222">
        <f>15131.81-15131.81</f>
        <v>0</v>
      </c>
      <c r="G234" s="222"/>
      <c r="H234" s="222"/>
      <c r="I234" s="222"/>
      <c r="J234" s="222"/>
      <c r="K234" s="222"/>
      <c r="L234" s="222"/>
    </row>
    <row r="235" spans="1:12">
      <c r="A235" s="222" t="s">
        <v>448</v>
      </c>
      <c r="B235" s="222">
        <v>130493154</v>
      </c>
      <c r="C235" s="222" t="s">
        <v>603</v>
      </c>
      <c r="D235" s="218">
        <v>45966</v>
      </c>
      <c r="E235" s="256">
        <f t="shared" si="3"/>
        <v>24259.37</v>
      </c>
      <c r="F235" s="222">
        <v>24259.37</v>
      </c>
      <c r="G235" s="222"/>
      <c r="H235" s="222"/>
      <c r="I235" s="222"/>
      <c r="J235" s="222"/>
      <c r="K235" s="222"/>
      <c r="L235" s="222"/>
    </row>
    <row r="236" spans="1:12">
      <c r="A236" s="222" t="s">
        <v>180</v>
      </c>
      <c r="B236" s="222">
        <v>131198971</v>
      </c>
      <c r="C236" s="222" t="s">
        <v>604</v>
      </c>
      <c r="D236" s="218">
        <v>45966</v>
      </c>
      <c r="E236" s="256">
        <f t="shared" si="3"/>
        <v>0</v>
      </c>
      <c r="F236" s="222">
        <f>98090-98090</f>
        <v>0</v>
      </c>
      <c r="G236" s="222"/>
      <c r="H236" s="222"/>
      <c r="I236" s="222"/>
      <c r="J236" s="222"/>
      <c r="K236" s="222"/>
      <c r="L236" s="222"/>
    </row>
    <row r="237" spans="1:12">
      <c r="A237" s="222" t="s">
        <v>180</v>
      </c>
      <c r="B237" s="222">
        <v>131198971</v>
      </c>
      <c r="C237" s="222" t="s">
        <v>606</v>
      </c>
      <c r="D237" s="218">
        <v>45964</v>
      </c>
      <c r="E237" s="256">
        <f t="shared" si="3"/>
        <v>279450.55</v>
      </c>
      <c r="F237" s="222">
        <v>279450.55</v>
      </c>
      <c r="G237" s="222"/>
      <c r="H237" s="222"/>
      <c r="I237" s="222"/>
      <c r="J237" s="222"/>
      <c r="K237" s="222"/>
      <c r="L237" s="222"/>
    </row>
    <row r="238" spans="1:12">
      <c r="A238" s="222" t="s">
        <v>180</v>
      </c>
      <c r="B238" s="222">
        <v>131198971</v>
      </c>
      <c r="C238" s="222" t="s">
        <v>607</v>
      </c>
      <c r="D238" s="218">
        <v>45964</v>
      </c>
      <c r="E238" s="256">
        <f t="shared" si="3"/>
        <v>0</v>
      </c>
      <c r="F238" s="222">
        <f>149160-149160</f>
        <v>0</v>
      </c>
      <c r="G238" s="222"/>
      <c r="H238" s="222"/>
      <c r="I238" s="222"/>
      <c r="J238" s="222"/>
      <c r="K238" s="222"/>
      <c r="L238" s="222"/>
    </row>
    <row r="239" spans="1:12">
      <c r="A239" s="222" t="s">
        <v>610</v>
      </c>
      <c r="B239" s="222">
        <v>131319114</v>
      </c>
      <c r="C239" s="222" t="s">
        <v>609</v>
      </c>
      <c r="D239" s="218">
        <v>45974</v>
      </c>
      <c r="E239" s="256">
        <f t="shared" si="3"/>
        <v>0</v>
      </c>
      <c r="F239" s="222">
        <f>78000-78000</f>
        <v>0</v>
      </c>
      <c r="G239" s="222"/>
      <c r="H239" s="222"/>
      <c r="I239" s="222"/>
      <c r="J239" s="222"/>
      <c r="K239" s="222"/>
      <c r="L239" s="222"/>
    </row>
    <row r="240" spans="1:12">
      <c r="A240" s="222" t="s">
        <v>534</v>
      </c>
      <c r="B240" s="222">
        <v>130791457</v>
      </c>
      <c r="C240" s="222" t="s">
        <v>611</v>
      </c>
      <c r="D240" s="218">
        <v>45966</v>
      </c>
      <c r="E240" s="256">
        <f t="shared" si="3"/>
        <v>0</v>
      </c>
      <c r="F240" s="222">
        <f>115000-115000</f>
        <v>0</v>
      </c>
      <c r="G240" s="222"/>
      <c r="H240" s="222"/>
      <c r="I240" s="222"/>
      <c r="J240" s="222"/>
      <c r="K240" s="222"/>
      <c r="L240" s="222"/>
    </row>
    <row r="241" spans="1:12">
      <c r="A241" s="222" t="s">
        <v>756</v>
      </c>
      <c r="B241" s="222">
        <v>101067812</v>
      </c>
      <c r="C241" s="222" t="s">
        <v>612</v>
      </c>
      <c r="D241" s="218">
        <v>45968</v>
      </c>
      <c r="E241" s="256">
        <f t="shared" si="3"/>
        <v>99500</v>
      </c>
      <c r="F241" s="222">
        <v>99500</v>
      </c>
      <c r="G241" s="222"/>
      <c r="H241" s="222"/>
      <c r="I241" s="222"/>
      <c r="J241" s="222"/>
      <c r="K241" s="222"/>
      <c r="L241" s="222"/>
    </row>
    <row r="242" spans="1:12">
      <c r="A242" s="222" t="s">
        <v>262</v>
      </c>
      <c r="B242" s="222">
        <v>101001577</v>
      </c>
      <c r="C242" s="222"/>
      <c r="D242" s="218">
        <v>45940</v>
      </c>
      <c r="E242" s="256">
        <f t="shared" si="3"/>
        <v>0</v>
      </c>
      <c r="F242" s="222">
        <f>13747.5-13747.5</f>
        <v>0</v>
      </c>
      <c r="G242" s="222"/>
      <c r="H242" s="222"/>
      <c r="I242" s="222"/>
      <c r="J242" s="222"/>
      <c r="K242" s="222"/>
      <c r="L242" s="222"/>
    </row>
    <row r="243" spans="1:12">
      <c r="A243" s="222" t="s">
        <v>262</v>
      </c>
      <c r="B243" s="222">
        <v>101001577</v>
      </c>
      <c r="C243" s="222"/>
      <c r="D243" s="218">
        <v>45940</v>
      </c>
      <c r="E243" s="256">
        <f t="shared" si="3"/>
        <v>0</v>
      </c>
      <c r="F243" s="222">
        <f>3199.01-3199.01</f>
        <v>0</v>
      </c>
      <c r="G243" s="222"/>
      <c r="H243" s="222"/>
      <c r="I243" s="222"/>
      <c r="J243" s="222"/>
      <c r="K243" s="222"/>
      <c r="L243" s="222"/>
    </row>
    <row r="244" spans="1:12">
      <c r="A244" s="222" t="s">
        <v>350</v>
      </c>
      <c r="B244" s="222">
        <v>133070502</v>
      </c>
      <c r="C244" s="222" t="s">
        <v>616</v>
      </c>
      <c r="D244" s="218">
        <v>45981</v>
      </c>
      <c r="E244" s="256">
        <f t="shared" si="3"/>
        <v>159123</v>
      </c>
      <c r="F244" s="222">
        <v>159123</v>
      </c>
      <c r="G244" s="222"/>
      <c r="H244" s="222"/>
      <c r="I244" s="222"/>
      <c r="J244" s="222"/>
      <c r="K244" s="222"/>
      <c r="L244" s="222"/>
    </row>
    <row r="245" spans="1:12">
      <c r="A245" s="222" t="s">
        <v>180</v>
      </c>
      <c r="B245" s="222">
        <v>131198971</v>
      </c>
      <c r="C245" s="222" t="s">
        <v>617</v>
      </c>
      <c r="D245" s="218">
        <v>45982</v>
      </c>
      <c r="E245" s="256">
        <f t="shared" si="3"/>
        <v>0</v>
      </c>
      <c r="F245" s="222">
        <f>33920-33920</f>
        <v>0</v>
      </c>
      <c r="G245" s="222"/>
      <c r="H245" s="222"/>
      <c r="I245" s="222"/>
      <c r="J245" s="222"/>
      <c r="K245" s="222"/>
      <c r="L245" s="222"/>
    </row>
    <row r="246" spans="1:12">
      <c r="A246" s="222" t="s">
        <v>621</v>
      </c>
      <c r="B246" s="222">
        <v>130785376</v>
      </c>
      <c r="C246" s="222" t="s">
        <v>620</v>
      </c>
      <c r="D246" s="218">
        <v>45962</v>
      </c>
      <c r="E246" s="256">
        <f t="shared" si="3"/>
        <v>0</v>
      </c>
      <c r="F246" s="222">
        <f>86500-86500</f>
        <v>0</v>
      </c>
      <c r="G246" s="222"/>
      <c r="H246" s="222"/>
      <c r="I246" s="222"/>
      <c r="J246" s="222"/>
      <c r="K246" s="222"/>
      <c r="L246" s="222"/>
    </row>
    <row r="247" spans="1:12">
      <c r="A247" s="222" t="s">
        <v>584</v>
      </c>
      <c r="B247" s="222">
        <v>131224881</v>
      </c>
      <c r="C247" s="222" t="s">
        <v>624</v>
      </c>
      <c r="D247" s="218">
        <v>45985</v>
      </c>
      <c r="E247" s="256">
        <f t="shared" si="3"/>
        <v>0</v>
      </c>
      <c r="F247" s="222">
        <f>410000-410000</f>
        <v>0</v>
      </c>
      <c r="G247" s="222"/>
      <c r="H247" s="222"/>
      <c r="I247" s="222"/>
      <c r="J247" s="222"/>
      <c r="K247" s="222"/>
      <c r="L247" s="222"/>
    </row>
    <row r="248" spans="1:12">
      <c r="A248" s="222" t="s">
        <v>578</v>
      </c>
      <c r="B248" s="222">
        <v>133087723</v>
      </c>
      <c r="C248" s="222" t="s">
        <v>627</v>
      </c>
      <c r="D248" s="218">
        <v>45981</v>
      </c>
      <c r="E248" s="256">
        <f t="shared" si="3"/>
        <v>21800</v>
      </c>
      <c r="F248" s="222">
        <v>21800</v>
      </c>
      <c r="G248" s="222"/>
      <c r="H248" s="222"/>
      <c r="I248" s="222"/>
      <c r="J248" s="222"/>
      <c r="K248" s="222"/>
      <c r="L248" s="222"/>
    </row>
    <row r="249" spans="1:12">
      <c r="A249" s="222" t="s">
        <v>365</v>
      </c>
      <c r="B249" s="222">
        <v>131007562</v>
      </c>
      <c r="C249" s="222" t="s">
        <v>629</v>
      </c>
      <c r="D249" s="218">
        <v>45981</v>
      </c>
      <c r="E249" s="256">
        <f t="shared" si="3"/>
        <v>0</v>
      </c>
      <c r="F249" s="222">
        <f>458769-458769</f>
        <v>0</v>
      </c>
      <c r="G249" s="222"/>
      <c r="H249" s="222"/>
      <c r="I249" s="222"/>
      <c r="J249" s="222"/>
      <c r="K249" s="222"/>
      <c r="L249" s="222"/>
    </row>
    <row r="250" spans="1:12">
      <c r="A250" s="222" t="s">
        <v>757</v>
      </c>
      <c r="B250" s="222">
        <v>131078842</v>
      </c>
      <c r="C250" s="222" t="s">
        <v>632</v>
      </c>
      <c r="D250" s="218">
        <v>45982</v>
      </c>
      <c r="E250" s="256">
        <f t="shared" si="3"/>
        <v>0</v>
      </c>
      <c r="F250" s="222">
        <f>10974-10974</f>
        <v>0</v>
      </c>
      <c r="G250" s="222"/>
      <c r="H250" s="222"/>
      <c r="I250" s="222"/>
      <c r="J250" s="222"/>
      <c r="K250" s="222"/>
      <c r="L250" s="222"/>
    </row>
    <row r="251" spans="1:12">
      <c r="A251" s="222" t="s">
        <v>519</v>
      </c>
      <c r="B251" s="222">
        <v>101070587</v>
      </c>
      <c r="C251" s="222" t="s">
        <v>634</v>
      </c>
      <c r="D251" s="218">
        <v>45987</v>
      </c>
      <c r="E251" s="256">
        <f t="shared" si="3"/>
        <v>1135723.6100000001</v>
      </c>
      <c r="F251" s="222">
        <v>1135723.6100000001</v>
      </c>
      <c r="G251" s="222"/>
      <c r="H251" s="222"/>
      <c r="I251" s="222"/>
      <c r="J251" s="222"/>
      <c r="K251" s="222"/>
      <c r="L251" s="222"/>
    </row>
    <row r="252" spans="1:12">
      <c r="A252" s="222" t="s">
        <v>561</v>
      </c>
      <c r="B252" s="222">
        <v>101643412</v>
      </c>
      <c r="C252" s="222" t="s">
        <v>637</v>
      </c>
      <c r="D252" s="218">
        <v>45985</v>
      </c>
      <c r="E252" s="256">
        <f t="shared" si="3"/>
        <v>83984.9</v>
      </c>
      <c r="F252" s="222"/>
      <c r="G252" s="222">
        <v>83984.9</v>
      </c>
      <c r="H252" s="222"/>
      <c r="I252" s="222"/>
      <c r="J252" s="222"/>
      <c r="K252" s="222"/>
      <c r="L252" s="222"/>
    </row>
    <row r="253" spans="1:12">
      <c r="A253" s="222" t="s">
        <v>311</v>
      </c>
      <c r="B253" s="222">
        <v>117840652</v>
      </c>
      <c r="C253" s="222" t="s">
        <v>640</v>
      </c>
      <c r="D253" s="218">
        <v>45985</v>
      </c>
      <c r="E253" s="256">
        <f t="shared" si="3"/>
        <v>1800</v>
      </c>
      <c r="F253" s="222">
        <v>1800</v>
      </c>
      <c r="G253" s="222"/>
      <c r="H253" s="222"/>
      <c r="I253" s="222"/>
      <c r="J253" s="222"/>
      <c r="K253" s="222"/>
      <c r="L253" s="222"/>
    </row>
    <row r="254" spans="1:12">
      <c r="A254" s="222" t="s">
        <v>643</v>
      </c>
      <c r="B254" s="222">
        <v>131788998</v>
      </c>
      <c r="C254" s="222" t="s">
        <v>642</v>
      </c>
      <c r="D254" s="218">
        <v>45985</v>
      </c>
      <c r="E254" s="256">
        <f t="shared" si="3"/>
        <v>2775.36</v>
      </c>
      <c r="F254" s="222">
        <v>2775.36</v>
      </c>
      <c r="G254" s="222"/>
      <c r="H254" s="222"/>
      <c r="I254" s="222"/>
      <c r="J254" s="222"/>
      <c r="K254" s="222"/>
      <c r="L254" s="222"/>
    </row>
    <row r="255" spans="1:12">
      <c r="A255" s="222" t="s">
        <v>646</v>
      </c>
      <c r="B255" s="222">
        <v>101012803</v>
      </c>
      <c r="C255" s="222" t="s">
        <v>645</v>
      </c>
      <c r="D255" s="218">
        <v>45982</v>
      </c>
      <c r="E255" s="256">
        <f t="shared" si="3"/>
        <v>11900.3</v>
      </c>
      <c r="F255" s="222">
        <v>11900.3</v>
      </c>
      <c r="G255" s="222"/>
      <c r="H255" s="222"/>
      <c r="I255" s="222"/>
      <c r="J255" s="222"/>
      <c r="K255" s="222"/>
      <c r="L255" s="222"/>
    </row>
    <row r="256" spans="1:12">
      <c r="A256" s="222" t="s">
        <v>350</v>
      </c>
      <c r="B256" s="222">
        <v>133070502</v>
      </c>
      <c r="C256" s="222" t="s">
        <v>648</v>
      </c>
      <c r="D256" s="218">
        <v>45988</v>
      </c>
      <c r="E256" s="256">
        <f t="shared" si="3"/>
        <v>17049.11</v>
      </c>
      <c r="F256" s="222">
        <v>17049.11</v>
      </c>
      <c r="G256" s="222"/>
      <c r="H256" s="222"/>
      <c r="I256" s="222"/>
      <c r="J256" s="222"/>
      <c r="K256" s="222"/>
      <c r="L256" s="222"/>
    </row>
    <row r="257" spans="1:12">
      <c r="A257" s="222" t="s">
        <v>213</v>
      </c>
      <c r="B257" s="222">
        <v>101196017</v>
      </c>
      <c r="C257" s="222" t="s">
        <v>651</v>
      </c>
      <c r="D257" s="218">
        <v>45986</v>
      </c>
      <c r="E257" s="256">
        <f t="shared" si="3"/>
        <v>148934.04</v>
      </c>
      <c r="F257" s="222">
        <v>148934.04</v>
      </c>
      <c r="G257" s="222"/>
      <c r="H257" s="222"/>
      <c r="I257" s="222"/>
      <c r="J257" s="222"/>
      <c r="K257" s="222"/>
      <c r="L257" s="222"/>
    </row>
    <row r="258" spans="1:12">
      <c r="A258" s="222" t="s">
        <v>550</v>
      </c>
      <c r="B258" s="222">
        <v>130684286</v>
      </c>
      <c r="C258" s="222" t="s">
        <v>652</v>
      </c>
      <c r="D258" s="218">
        <v>45989</v>
      </c>
      <c r="E258" s="256">
        <f t="shared" si="3"/>
        <v>25160</v>
      </c>
      <c r="F258" s="222">
        <v>25160</v>
      </c>
      <c r="G258" s="222"/>
      <c r="H258" s="222"/>
      <c r="I258" s="222"/>
      <c r="J258" s="222"/>
      <c r="K258" s="222"/>
      <c r="L258" s="222"/>
    </row>
    <row r="259" spans="1:12">
      <c r="A259" s="222" t="s">
        <v>550</v>
      </c>
      <c r="B259" s="222">
        <v>130684286</v>
      </c>
      <c r="C259" s="222" t="s">
        <v>653</v>
      </c>
      <c r="D259" s="218">
        <v>45989</v>
      </c>
      <c r="E259" s="256">
        <f t="shared" si="3"/>
        <v>16500</v>
      </c>
      <c r="F259" s="222">
        <v>16500</v>
      </c>
      <c r="G259" s="222"/>
      <c r="H259" s="222"/>
      <c r="I259" s="222"/>
      <c r="J259" s="222"/>
      <c r="K259" s="222"/>
      <c r="L259" s="222"/>
    </row>
    <row r="260" spans="1:12">
      <c r="A260" s="222" t="s">
        <v>531</v>
      </c>
      <c r="B260" s="222">
        <v>130003866</v>
      </c>
      <c r="C260" s="222" t="s">
        <v>655</v>
      </c>
      <c r="D260" s="218">
        <v>45992</v>
      </c>
      <c r="E260" s="256">
        <f t="shared" si="3"/>
        <v>0</v>
      </c>
      <c r="F260" s="222">
        <f>322854.05-322854.05</f>
        <v>0</v>
      </c>
      <c r="G260" s="222"/>
      <c r="H260" s="222"/>
      <c r="I260" s="222"/>
      <c r="J260" s="222"/>
      <c r="K260" s="222"/>
      <c r="L260" s="222"/>
    </row>
    <row r="261" spans="1:12">
      <c r="A261" s="222" t="s">
        <v>621</v>
      </c>
      <c r="B261" s="222">
        <v>130785376</v>
      </c>
      <c r="C261" s="222" t="s">
        <v>758</v>
      </c>
      <c r="D261" s="218">
        <v>45992</v>
      </c>
      <c r="E261" s="256">
        <f t="shared" si="3"/>
        <v>0</v>
      </c>
      <c r="F261" s="222">
        <f>395500-395500</f>
        <v>0</v>
      </c>
      <c r="G261" s="222"/>
      <c r="H261" s="222"/>
      <c r="I261" s="222"/>
      <c r="J261" s="222"/>
      <c r="K261" s="222"/>
      <c r="L261" s="222"/>
    </row>
    <row r="262" spans="1:12">
      <c r="A262" s="222" t="s">
        <v>610</v>
      </c>
      <c r="B262" s="222">
        <v>131319114</v>
      </c>
      <c r="C262" s="222" t="s">
        <v>759</v>
      </c>
      <c r="D262" s="218">
        <v>45995</v>
      </c>
      <c r="E262" s="256">
        <f t="shared" si="3"/>
        <v>0</v>
      </c>
      <c r="F262" s="222">
        <f>39000-39000</f>
        <v>0</v>
      </c>
      <c r="G262" s="222"/>
      <c r="H262" s="222"/>
      <c r="I262" s="222"/>
      <c r="J262" s="222"/>
      <c r="K262" s="222"/>
      <c r="L262" s="222"/>
    </row>
    <row r="263" spans="1:12">
      <c r="A263" s="222" t="s">
        <v>262</v>
      </c>
      <c r="B263" s="222">
        <v>101001577</v>
      </c>
      <c r="C263" s="222" t="s">
        <v>662</v>
      </c>
      <c r="D263" s="218">
        <v>46001</v>
      </c>
      <c r="E263" s="256">
        <f t="shared" si="3"/>
        <v>0</v>
      </c>
      <c r="F263" s="222">
        <f>4012.62-4012.62</f>
        <v>0</v>
      </c>
      <c r="G263" s="222"/>
      <c r="H263" s="222"/>
      <c r="I263" s="222"/>
      <c r="J263" s="222"/>
      <c r="K263" s="222"/>
      <c r="L263" s="222"/>
    </row>
    <row r="264" spans="1:12">
      <c r="A264" s="222" t="s">
        <v>273</v>
      </c>
      <c r="B264" s="222">
        <v>132380061</v>
      </c>
      <c r="C264" s="222" t="s">
        <v>760</v>
      </c>
      <c r="D264" s="218">
        <v>46008</v>
      </c>
      <c r="E264" s="256">
        <f t="shared" si="3"/>
        <v>129464</v>
      </c>
      <c r="F264" s="222">
        <v>129464</v>
      </c>
      <c r="G264" s="222"/>
      <c r="H264" s="222"/>
      <c r="I264" s="222"/>
      <c r="J264" s="222"/>
      <c r="K264" s="222"/>
      <c r="L264" s="222"/>
    </row>
    <row r="265" spans="1:12">
      <c r="A265" s="222" t="s">
        <v>251</v>
      </c>
      <c r="B265" s="222">
        <v>131950922</v>
      </c>
      <c r="C265" s="222" t="s">
        <v>667</v>
      </c>
      <c r="D265" s="218">
        <v>45988</v>
      </c>
      <c r="E265" s="256">
        <f t="shared" si="3"/>
        <v>27140</v>
      </c>
      <c r="F265" s="222">
        <v>27140</v>
      </c>
      <c r="G265" s="222"/>
      <c r="H265" s="222"/>
      <c r="I265" s="222"/>
      <c r="J265" s="222"/>
      <c r="K265" s="222"/>
      <c r="L265" s="222"/>
    </row>
    <row r="266" spans="1:12">
      <c r="A266" s="222" t="s">
        <v>598</v>
      </c>
      <c r="B266" s="222">
        <v>132730242</v>
      </c>
      <c r="C266" s="222" t="s">
        <v>616</v>
      </c>
      <c r="D266" s="218">
        <v>46003</v>
      </c>
      <c r="E266" s="256">
        <f t="shared" si="3"/>
        <v>240600</v>
      </c>
      <c r="F266" s="222">
        <v>240600</v>
      </c>
      <c r="G266" s="222"/>
      <c r="H266" s="222"/>
      <c r="I266" s="222"/>
      <c r="J266" s="222"/>
      <c r="K266" s="222"/>
      <c r="L266" s="222"/>
    </row>
    <row r="267" spans="1:12">
      <c r="A267" s="222" t="s">
        <v>598</v>
      </c>
      <c r="B267" s="222">
        <v>132730242</v>
      </c>
      <c r="C267" s="222" t="s">
        <v>669</v>
      </c>
      <c r="D267" s="218">
        <v>46003</v>
      </c>
      <c r="E267" s="256">
        <f t="shared" si="3"/>
        <v>134400</v>
      </c>
      <c r="F267" s="222">
        <v>134400</v>
      </c>
      <c r="G267" s="222"/>
      <c r="H267" s="222"/>
      <c r="I267" s="222"/>
      <c r="J267" s="222"/>
      <c r="K267" s="222"/>
      <c r="L267" s="222"/>
    </row>
    <row r="268" spans="1:12">
      <c r="A268" s="222" t="s">
        <v>311</v>
      </c>
      <c r="B268" s="222">
        <v>117840652</v>
      </c>
      <c r="C268" s="222" t="s">
        <v>671</v>
      </c>
      <c r="D268" s="218">
        <v>46003</v>
      </c>
      <c r="E268" s="256">
        <f t="shared" si="3"/>
        <v>101250</v>
      </c>
      <c r="F268" s="222">
        <v>101250</v>
      </c>
      <c r="G268" s="222"/>
      <c r="H268" s="222"/>
      <c r="I268" s="222"/>
      <c r="J268" s="222"/>
      <c r="K268" s="222"/>
      <c r="L268" s="222"/>
    </row>
    <row r="269" spans="1:12">
      <c r="A269" s="222" t="s">
        <v>311</v>
      </c>
      <c r="B269" s="222">
        <v>117840652</v>
      </c>
      <c r="C269" s="222" t="s">
        <v>673</v>
      </c>
      <c r="D269" s="218">
        <v>46003</v>
      </c>
      <c r="E269" s="256">
        <f t="shared" si="3"/>
        <v>299948.61</v>
      </c>
      <c r="F269" s="222">
        <v>299948.61</v>
      </c>
      <c r="G269" s="222"/>
      <c r="H269" s="222"/>
      <c r="I269" s="222"/>
      <c r="J269" s="222"/>
      <c r="K269" s="222"/>
      <c r="L269" s="222"/>
    </row>
    <row r="270" spans="1:12">
      <c r="A270" s="222" t="s">
        <v>311</v>
      </c>
      <c r="B270" s="222">
        <v>117840652</v>
      </c>
      <c r="C270" s="222" t="s">
        <v>675</v>
      </c>
      <c r="D270" s="218">
        <v>46003</v>
      </c>
      <c r="E270" s="256">
        <f t="shared" si="3"/>
        <v>149300</v>
      </c>
      <c r="F270" s="222">
        <v>149300</v>
      </c>
      <c r="G270" s="222"/>
      <c r="H270" s="222"/>
      <c r="I270" s="222"/>
      <c r="J270" s="222"/>
      <c r="K270" s="222"/>
      <c r="L270" s="222"/>
    </row>
    <row r="271" spans="1:12">
      <c r="A271" s="222" t="s">
        <v>311</v>
      </c>
      <c r="B271" s="222">
        <v>117840652</v>
      </c>
      <c r="C271" s="222" t="s">
        <v>678</v>
      </c>
      <c r="D271" s="218">
        <v>46000</v>
      </c>
      <c r="E271" s="256">
        <f t="shared" si="3"/>
        <v>847104.28</v>
      </c>
      <c r="F271" s="222">
        <v>847104.28</v>
      </c>
      <c r="G271" s="222"/>
      <c r="H271" s="222"/>
      <c r="I271" s="222"/>
      <c r="J271" s="222"/>
      <c r="K271" s="222"/>
      <c r="L271" s="222"/>
    </row>
    <row r="272" spans="1:12">
      <c r="A272" s="222" t="s">
        <v>534</v>
      </c>
      <c r="B272" s="222">
        <v>130791457</v>
      </c>
      <c r="C272" s="222" t="s">
        <v>679</v>
      </c>
      <c r="D272" s="218">
        <v>46002</v>
      </c>
      <c r="E272" s="256">
        <f t="shared" si="3"/>
        <v>115000</v>
      </c>
      <c r="F272" s="222">
        <v>115000</v>
      </c>
      <c r="G272" s="222"/>
      <c r="H272" s="222"/>
      <c r="I272" s="222"/>
      <c r="J272" s="222"/>
      <c r="K272" s="222"/>
      <c r="L272" s="222"/>
    </row>
    <row r="273" spans="1:12">
      <c r="A273" s="222" t="s">
        <v>334</v>
      </c>
      <c r="B273" s="222">
        <v>131792022</v>
      </c>
      <c r="C273" s="222" t="s">
        <v>681</v>
      </c>
      <c r="D273" s="218">
        <v>46001</v>
      </c>
      <c r="E273" s="256">
        <f t="shared" si="3"/>
        <v>0</v>
      </c>
      <c r="F273" s="222">
        <f>300000-300000</f>
        <v>0</v>
      </c>
      <c r="G273" s="222"/>
      <c r="H273" s="222"/>
      <c r="I273" s="222"/>
      <c r="J273" s="222"/>
      <c r="K273" s="222"/>
      <c r="L273" s="222"/>
    </row>
    <row r="274" spans="1:12">
      <c r="A274" s="222" t="s">
        <v>684</v>
      </c>
      <c r="B274" s="222">
        <v>131408923</v>
      </c>
      <c r="C274" s="222" t="s">
        <v>683</v>
      </c>
      <c r="D274" s="218">
        <v>46001</v>
      </c>
      <c r="E274" s="256">
        <f t="shared" si="3"/>
        <v>16520</v>
      </c>
      <c r="F274" s="222">
        <v>16520</v>
      </c>
      <c r="G274" s="222"/>
      <c r="H274" s="222"/>
      <c r="I274" s="222"/>
      <c r="J274" s="222"/>
      <c r="K274" s="222"/>
      <c r="L274" s="222"/>
    </row>
    <row r="275" spans="1:12">
      <c r="A275" s="222" t="s">
        <v>249</v>
      </c>
      <c r="B275" s="222">
        <v>101033738</v>
      </c>
      <c r="C275" s="222" t="s">
        <v>686</v>
      </c>
      <c r="D275" s="218">
        <v>45992</v>
      </c>
      <c r="E275" s="256">
        <f t="shared" si="3"/>
        <v>41952</v>
      </c>
      <c r="F275" s="222">
        <v>41952</v>
      </c>
      <c r="G275" s="222"/>
      <c r="H275" s="222"/>
      <c r="I275" s="222"/>
      <c r="J275" s="222"/>
      <c r="K275" s="222"/>
      <c r="L275" s="222"/>
    </row>
    <row r="276" spans="1:12">
      <c r="A276" s="222" t="s">
        <v>220</v>
      </c>
      <c r="B276" s="222">
        <v>130681432</v>
      </c>
      <c r="C276" s="222" t="s">
        <v>689</v>
      </c>
      <c r="D276" s="218">
        <v>45994</v>
      </c>
      <c r="E276" s="256">
        <f t="shared" si="3"/>
        <v>6295</v>
      </c>
      <c r="F276" s="222">
        <v>6295</v>
      </c>
      <c r="G276" s="222"/>
      <c r="H276" s="222"/>
      <c r="I276" s="222"/>
      <c r="J276" s="222"/>
      <c r="K276" s="222"/>
      <c r="L276" s="222"/>
    </row>
    <row r="277" spans="1:12">
      <c r="A277" s="222" t="s">
        <v>387</v>
      </c>
      <c r="B277" s="222">
        <v>130247471</v>
      </c>
      <c r="C277" s="222" t="s">
        <v>692</v>
      </c>
      <c r="D277" s="218">
        <v>45989</v>
      </c>
      <c r="E277" s="256">
        <f t="shared" si="3"/>
        <v>293357.44</v>
      </c>
      <c r="F277" s="222">
        <v>293357.44</v>
      </c>
      <c r="G277" s="222"/>
      <c r="H277" s="222"/>
      <c r="I277" s="222"/>
      <c r="J277" s="222"/>
      <c r="K277" s="222"/>
      <c r="L277" s="222"/>
    </row>
    <row r="278" spans="1:12">
      <c r="A278" s="222" t="s">
        <v>589</v>
      </c>
      <c r="B278" s="222">
        <v>40220702563</v>
      </c>
      <c r="C278" s="222" t="s">
        <v>694</v>
      </c>
      <c r="D278" s="218">
        <v>46007</v>
      </c>
      <c r="E278" s="256">
        <f t="shared" si="3"/>
        <v>431190</v>
      </c>
      <c r="F278" s="222">
        <v>431190</v>
      </c>
      <c r="G278" s="222"/>
      <c r="H278" s="222"/>
      <c r="I278" s="222"/>
      <c r="J278" s="222"/>
      <c r="K278" s="222"/>
      <c r="L278" s="222"/>
    </row>
    <row r="279" spans="1:12">
      <c r="A279" s="222" t="s">
        <v>180</v>
      </c>
      <c r="B279" s="222">
        <v>131198971</v>
      </c>
      <c r="C279" s="222" t="s">
        <v>696</v>
      </c>
      <c r="D279" s="218">
        <v>46018</v>
      </c>
      <c r="E279" s="256">
        <f t="shared" si="3"/>
        <v>120048.3</v>
      </c>
      <c r="F279" s="222">
        <v>120048.3</v>
      </c>
      <c r="G279" s="222"/>
      <c r="H279" s="222"/>
      <c r="I279" s="222"/>
      <c r="J279" s="222"/>
      <c r="K279" s="222"/>
      <c r="L279" s="222"/>
    </row>
    <row r="280" spans="1:12">
      <c r="A280" s="222" t="s">
        <v>584</v>
      </c>
      <c r="B280" s="222">
        <v>131224881</v>
      </c>
      <c r="C280" s="222" t="s">
        <v>699</v>
      </c>
      <c r="D280" s="218">
        <v>46017</v>
      </c>
      <c r="E280" s="256">
        <f t="shared" ref="E280:E308" si="4">SUM(F280:J280)</f>
        <v>240000</v>
      </c>
      <c r="F280" s="222">
        <v>240000</v>
      </c>
      <c r="G280" s="222"/>
      <c r="H280" s="222"/>
      <c r="I280" s="222"/>
      <c r="J280" s="222"/>
      <c r="K280" s="222"/>
      <c r="L280" s="222"/>
    </row>
    <row r="281" spans="1:12">
      <c r="A281" s="222" t="s">
        <v>584</v>
      </c>
      <c r="B281" s="222">
        <v>131224881</v>
      </c>
      <c r="C281" s="222" t="s">
        <v>701</v>
      </c>
      <c r="D281" s="218">
        <v>46017</v>
      </c>
      <c r="E281" s="256">
        <f t="shared" si="4"/>
        <v>52746</v>
      </c>
      <c r="F281" s="222">
        <v>52746</v>
      </c>
      <c r="G281" s="222"/>
      <c r="H281" s="222"/>
      <c r="I281" s="222"/>
      <c r="J281" s="222"/>
      <c r="K281" s="222"/>
      <c r="L281" s="222"/>
    </row>
    <row r="282" spans="1:12">
      <c r="A282" s="222" t="s">
        <v>531</v>
      </c>
      <c r="B282" s="222">
        <v>130003866</v>
      </c>
      <c r="C282" s="222" t="s">
        <v>702</v>
      </c>
      <c r="D282" s="218">
        <v>46017</v>
      </c>
      <c r="E282" s="256">
        <f t="shared" si="4"/>
        <v>310917</v>
      </c>
      <c r="F282" s="222">
        <v>310917</v>
      </c>
      <c r="G282" s="222"/>
      <c r="H282" s="222"/>
      <c r="I282" s="222"/>
      <c r="J282" s="222"/>
      <c r="K282" s="222"/>
      <c r="L282" s="222"/>
    </row>
    <row r="283" spans="1:12">
      <c r="A283" s="222" t="s">
        <v>621</v>
      </c>
      <c r="B283" s="222">
        <v>130785376</v>
      </c>
      <c r="C283" s="222" t="s">
        <v>703</v>
      </c>
      <c r="D283" s="218">
        <v>46017</v>
      </c>
      <c r="E283" s="256">
        <f t="shared" si="4"/>
        <v>31500</v>
      </c>
      <c r="F283" s="222">
        <v>31500</v>
      </c>
      <c r="G283" s="222"/>
      <c r="H283" s="222"/>
      <c r="I283" s="222"/>
      <c r="J283" s="222"/>
      <c r="K283" s="222"/>
      <c r="L283" s="222"/>
    </row>
    <row r="284" spans="1:12">
      <c r="A284" s="222" t="s">
        <v>180</v>
      </c>
      <c r="B284" s="222">
        <v>131198971</v>
      </c>
      <c r="C284" s="222" t="s">
        <v>704</v>
      </c>
      <c r="D284" s="218">
        <v>46018</v>
      </c>
      <c r="E284" s="256">
        <f t="shared" si="4"/>
        <v>19785</v>
      </c>
      <c r="F284" s="222">
        <v>19785</v>
      </c>
      <c r="G284" s="222"/>
      <c r="H284" s="222"/>
      <c r="I284" s="222"/>
      <c r="J284" s="222"/>
      <c r="K284" s="222"/>
      <c r="L284" s="222"/>
    </row>
    <row r="285" spans="1:12">
      <c r="A285" s="222" t="s">
        <v>180</v>
      </c>
      <c r="B285" s="222">
        <v>131198971</v>
      </c>
      <c r="C285" s="222" t="s">
        <v>705</v>
      </c>
      <c r="D285" s="218">
        <v>46017</v>
      </c>
      <c r="E285" s="256">
        <f t="shared" si="4"/>
        <v>45585</v>
      </c>
      <c r="F285" s="222">
        <v>45585</v>
      </c>
      <c r="G285" s="222"/>
      <c r="H285" s="222"/>
      <c r="I285" s="222"/>
      <c r="J285" s="222"/>
      <c r="K285" s="222"/>
      <c r="L285" s="222"/>
    </row>
    <row r="286" spans="1:12">
      <c r="A286" s="222" t="s">
        <v>311</v>
      </c>
      <c r="B286" s="222">
        <v>117840652</v>
      </c>
      <c r="C286" s="222" t="s">
        <v>761</v>
      </c>
      <c r="D286" s="218">
        <v>46008</v>
      </c>
      <c r="E286" s="256">
        <f t="shared" si="4"/>
        <v>18762</v>
      </c>
      <c r="F286" s="222">
        <v>18762</v>
      </c>
      <c r="G286" s="222"/>
      <c r="H286" s="222"/>
      <c r="I286" s="222"/>
      <c r="J286" s="222"/>
      <c r="K286" s="222"/>
      <c r="L286" s="222"/>
    </row>
    <row r="287" spans="1:12">
      <c r="A287" s="222" t="s">
        <v>311</v>
      </c>
      <c r="B287" s="222">
        <v>117840652</v>
      </c>
      <c r="C287" s="222" t="s">
        <v>704</v>
      </c>
      <c r="D287" s="218">
        <v>46001</v>
      </c>
      <c r="E287" s="256">
        <f t="shared" si="4"/>
        <v>3771.28</v>
      </c>
      <c r="F287" s="222">
        <v>3771.28</v>
      </c>
      <c r="G287" s="222"/>
      <c r="H287" s="222"/>
      <c r="I287" s="222"/>
      <c r="J287" s="222"/>
      <c r="K287" s="222"/>
      <c r="L287" s="222"/>
    </row>
    <row r="288" spans="1:12">
      <c r="A288" s="222" t="s">
        <v>365</v>
      </c>
      <c r="B288" s="222">
        <v>131007562</v>
      </c>
      <c r="C288" s="222" t="s">
        <v>715</v>
      </c>
      <c r="D288" s="218">
        <v>46010</v>
      </c>
      <c r="E288" s="256">
        <f t="shared" si="4"/>
        <v>72452</v>
      </c>
      <c r="F288" s="222">
        <v>72452</v>
      </c>
      <c r="G288" s="222"/>
      <c r="H288" s="222"/>
      <c r="I288" s="222"/>
      <c r="J288" s="222"/>
      <c r="K288" s="222"/>
      <c r="L288" s="222"/>
    </row>
    <row r="289" spans="1:12">
      <c r="A289" s="222" t="s">
        <v>365</v>
      </c>
      <c r="B289" s="222">
        <v>131007562</v>
      </c>
      <c r="C289" s="222" t="s">
        <v>712</v>
      </c>
      <c r="D289" s="218">
        <v>46009</v>
      </c>
      <c r="E289" s="256">
        <f t="shared" si="4"/>
        <v>378728</v>
      </c>
      <c r="F289" s="222">
        <v>378728</v>
      </c>
      <c r="G289" s="222"/>
      <c r="H289" s="222"/>
      <c r="I289" s="222"/>
      <c r="J289" s="222"/>
      <c r="K289" s="222"/>
      <c r="L289" s="222"/>
    </row>
    <row r="290" spans="1:12">
      <c r="A290" s="222" t="s">
        <v>251</v>
      </c>
      <c r="B290" s="222">
        <v>131950922</v>
      </c>
      <c r="C290" s="222" t="s">
        <v>716</v>
      </c>
      <c r="D290" s="218">
        <v>46007</v>
      </c>
      <c r="E290" s="256">
        <f t="shared" si="4"/>
        <v>134520</v>
      </c>
      <c r="F290" s="222">
        <v>134520</v>
      </c>
      <c r="G290" s="222"/>
      <c r="H290" s="222"/>
      <c r="I290" s="222"/>
      <c r="J290" s="222"/>
      <c r="K290" s="222"/>
      <c r="L290" s="222"/>
    </row>
    <row r="291" spans="1:12">
      <c r="A291" s="222" t="s">
        <v>762</v>
      </c>
      <c r="B291" s="222">
        <v>101797802</v>
      </c>
      <c r="C291" s="222" t="s">
        <v>718</v>
      </c>
      <c r="D291" s="218">
        <v>46009</v>
      </c>
      <c r="E291" s="256">
        <f t="shared" si="4"/>
        <v>26800</v>
      </c>
      <c r="F291" s="222">
        <v>26800</v>
      </c>
      <c r="G291" s="222"/>
      <c r="H291" s="222"/>
      <c r="I291" s="222"/>
      <c r="J291" s="222"/>
      <c r="K291" s="222"/>
      <c r="L291" s="222"/>
    </row>
    <row r="292" spans="1:12">
      <c r="A292" s="222" t="s">
        <v>578</v>
      </c>
      <c r="B292" s="222">
        <v>133087723</v>
      </c>
      <c r="C292" s="222" t="s">
        <v>616</v>
      </c>
      <c r="D292" s="218">
        <v>46009</v>
      </c>
      <c r="E292" s="256">
        <f t="shared" si="4"/>
        <v>201200</v>
      </c>
      <c r="F292" s="222">
        <v>201200</v>
      </c>
      <c r="G292" s="222"/>
      <c r="H292" s="222"/>
      <c r="I292" s="222"/>
      <c r="J292" s="222"/>
      <c r="K292" s="222"/>
      <c r="L292" s="222"/>
    </row>
    <row r="293" spans="1:12">
      <c r="A293" s="222" t="s">
        <v>722</v>
      </c>
      <c r="B293" s="222">
        <v>4900772320</v>
      </c>
      <c r="C293" s="222" t="s">
        <v>721</v>
      </c>
      <c r="D293" s="218">
        <v>46010</v>
      </c>
      <c r="E293" s="256">
        <f t="shared" si="4"/>
        <v>173589.8</v>
      </c>
      <c r="F293" s="222">
        <v>173589.8</v>
      </c>
      <c r="G293" s="222"/>
      <c r="H293" s="222"/>
      <c r="I293" s="222"/>
      <c r="J293" s="222"/>
      <c r="K293" s="222"/>
      <c r="L293" s="222"/>
    </row>
    <row r="294" spans="1:12">
      <c r="A294" s="222" t="s">
        <v>448</v>
      </c>
      <c r="B294" s="222">
        <v>130493154</v>
      </c>
      <c r="C294" s="222" t="s">
        <v>724</v>
      </c>
      <c r="D294" s="218">
        <v>46017</v>
      </c>
      <c r="E294" s="256">
        <f t="shared" si="4"/>
        <v>21850.77</v>
      </c>
      <c r="F294" s="222">
        <v>21850.77</v>
      </c>
      <c r="G294" s="222"/>
      <c r="H294" s="222"/>
      <c r="I294" s="222"/>
      <c r="J294" s="222"/>
      <c r="K294" s="222"/>
      <c r="L294" s="222"/>
    </row>
    <row r="295" spans="1:12">
      <c r="A295" s="222" t="s">
        <v>448</v>
      </c>
      <c r="B295" s="222">
        <v>130493154</v>
      </c>
      <c r="C295" s="222" t="s">
        <v>725</v>
      </c>
      <c r="D295" s="218">
        <v>46003</v>
      </c>
      <c r="E295" s="256">
        <f t="shared" si="4"/>
        <v>22897.55</v>
      </c>
      <c r="F295" s="222">
        <v>22897.55</v>
      </c>
      <c r="G295" s="222"/>
      <c r="H295" s="222"/>
      <c r="I295" s="222"/>
      <c r="J295" s="222"/>
      <c r="K295" s="222"/>
      <c r="L295" s="222"/>
    </row>
    <row r="296" spans="1:12">
      <c r="A296" s="222" t="s">
        <v>448</v>
      </c>
      <c r="B296" s="222">
        <v>130493154</v>
      </c>
      <c r="C296" s="222" t="s">
        <v>725</v>
      </c>
      <c r="D296" s="218">
        <v>46003</v>
      </c>
      <c r="E296" s="256">
        <f t="shared" si="4"/>
        <v>22897.55</v>
      </c>
      <c r="F296" s="222">
        <v>22897.55</v>
      </c>
      <c r="G296" s="222"/>
      <c r="H296" s="222"/>
      <c r="I296" s="222"/>
      <c r="J296" s="222"/>
      <c r="K296" s="222"/>
      <c r="L296" s="222"/>
    </row>
    <row r="297" spans="1:12">
      <c r="A297" s="222" t="s">
        <v>550</v>
      </c>
      <c r="B297" s="222">
        <v>130684286</v>
      </c>
      <c r="C297" s="222" t="s">
        <v>728</v>
      </c>
      <c r="D297" s="218">
        <v>46020</v>
      </c>
      <c r="E297" s="256">
        <f t="shared" si="4"/>
        <v>10500</v>
      </c>
      <c r="F297" s="222">
        <v>10500</v>
      </c>
      <c r="G297" s="222"/>
      <c r="H297" s="222"/>
      <c r="I297" s="222"/>
      <c r="J297" s="222"/>
      <c r="K297" s="222"/>
      <c r="L297" s="222"/>
    </row>
    <row r="298" spans="1:12">
      <c r="A298" s="222" t="s">
        <v>550</v>
      </c>
      <c r="B298" s="222">
        <v>130684286</v>
      </c>
      <c r="C298" s="222" t="s">
        <v>726</v>
      </c>
      <c r="D298" s="218">
        <v>46020</v>
      </c>
      <c r="E298" s="256">
        <f t="shared" si="4"/>
        <v>20550</v>
      </c>
      <c r="F298" s="222">
        <v>20550</v>
      </c>
      <c r="G298" s="222"/>
      <c r="H298" s="222"/>
      <c r="I298" s="222"/>
      <c r="J298" s="222"/>
      <c r="K298" s="222"/>
      <c r="L298" s="222"/>
    </row>
    <row r="299" spans="1:12">
      <c r="A299" s="222" t="s">
        <v>334</v>
      </c>
      <c r="B299" s="222">
        <v>131792022</v>
      </c>
      <c r="C299" s="222" t="s">
        <v>732</v>
      </c>
      <c r="D299" s="218">
        <v>46013</v>
      </c>
      <c r="E299" s="256">
        <f t="shared" si="4"/>
        <v>425000</v>
      </c>
      <c r="F299" s="222">
        <v>425000</v>
      </c>
      <c r="G299" s="222"/>
      <c r="H299" s="222"/>
      <c r="I299" s="222"/>
      <c r="J299" s="222"/>
      <c r="K299" s="222"/>
      <c r="L299" s="222"/>
    </row>
    <row r="300" spans="1:12">
      <c r="A300" s="222" t="s">
        <v>763</v>
      </c>
      <c r="B300" s="222">
        <v>104016246</v>
      </c>
      <c r="C300" s="222" t="s">
        <v>729</v>
      </c>
      <c r="D300" s="218">
        <v>46010</v>
      </c>
      <c r="E300" s="256">
        <f t="shared" si="4"/>
        <v>489924</v>
      </c>
      <c r="F300" s="222">
        <v>489924</v>
      </c>
      <c r="G300" s="222"/>
      <c r="H300" s="222"/>
      <c r="I300" s="222"/>
      <c r="J300" s="222"/>
      <c r="K300" s="222"/>
      <c r="L300" s="222"/>
    </row>
    <row r="301" spans="1:12">
      <c r="A301" s="222" t="s">
        <v>389</v>
      </c>
      <c r="B301" s="222">
        <v>101779111</v>
      </c>
      <c r="C301" s="222" t="s">
        <v>733</v>
      </c>
      <c r="D301" s="218">
        <v>46007</v>
      </c>
      <c r="E301" s="256">
        <f t="shared" si="4"/>
        <v>32445.66</v>
      </c>
      <c r="F301" s="222">
        <v>32445.66</v>
      </c>
      <c r="G301" s="222"/>
      <c r="H301" s="222"/>
      <c r="I301" s="222"/>
      <c r="J301" s="222"/>
      <c r="K301" s="222"/>
      <c r="L301" s="222"/>
    </row>
    <row r="302" spans="1:12">
      <c r="A302" s="222" t="s">
        <v>390</v>
      </c>
      <c r="B302" s="222">
        <v>131944728</v>
      </c>
      <c r="C302" s="222" t="s">
        <v>734</v>
      </c>
      <c r="D302" s="218">
        <v>46010</v>
      </c>
      <c r="E302" s="256">
        <f t="shared" si="4"/>
        <v>29000</v>
      </c>
      <c r="F302" s="222">
        <v>29000</v>
      </c>
      <c r="G302" s="222"/>
      <c r="H302" s="222"/>
      <c r="I302" s="222"/>
      <c r="J302" s="222"/>
      <c r="K302" s="222"/>
      <c r="L302" s="222"/>
    </row>
    <row r="303" spans="1:12">
      <c r="A303" s="222" t="s">
        <v>391</v>
      </c>
      <c r="B303" s="222">
        <v>101040302</v>
      </c>
      <c r="C303" s="222" t="s">
        <v>735</v>
      </c>
      <c r="D303" s="218">
        <v>46010</v>
      </c>
      <c r="E303" s="256">
        <f t="shared" si="4"/>
        <v>455119.33</v>
      </c>
      <c r="F303" s="222">
        <v>455119.33</v>
      </c>
      <c r="G303" s="222"/>
      <c r="H303" s="222"/>
      <c r="I303" s="222"/>
      <c r="J303" s="222"/>
      <c r="K303" s="222"/>
      <c r="L303" s="222"/>
    </row>
    <row r="304" spans="1:12">
      <c r="A304" s="222"/>
      <c r="B304" s="222"/>
      <c r="C304" s="222"/>
      <c r="D304" s="218"/>
      <c r="E304" s="256">
        <f t="shared" si="4"/>
        <v>0</v>
      </c>
      <c r="F304" s="222"/>
      <c r="G304" s="222"/>
      <c r="H304" s="222"/>
      <c r="I304" s="222"/>
      <c r="J304" s="222"/>
      <c r="K304" s="222"/>
      <c r="L304" s="222"/>
    </row>
    <row r="305" spans="1:12">
      <c r="A305" s="222"/>
      <c r="B305" s="222"/>
      <c r="C305" s="222"/>
      <c r="D305" s="218"/>
      <c r="E305" s="256">
        <f t="shared" si="4"/>
        <v>0</v>
      </c>
      <c r="F305" s="222"/>
      <c r="G305" s="222"/>
      <c r="H305" s="222"/>
      <c r="I305" s="222"/>
      <c r="J305" s="222"/>
      <c r="K305" s="222"/>
      <c r="L305" s="222"/>
    </row>
    <row r="306" spans="1:12">
      <c r="A306" s="222"/>
      <c r="B306" s="222"/>
      <c r="C306" s="222"/>
      <c r="D306" s="218"/>
      <c r="E306" s="256">
        <f t="shared" si="4"/>
        <v>0</v>
      </c>
      <c r="F306" s="222"/>
      <c r="G306" s="222"/>
      <c r="H306" s="222"/>
      <c r="I306" s="222"/>
      <c r="J306" s="222"/>
      <c r="K306" s="222"/>
      <c r="L306" s="222"/>
    </row>
    <row r="307" spans="1:12">
      <c r="A307" s="222"/>
      <c r="B307" s="222"/>
      <c r="C307" s="222"/>
      <c r="D307" s="218"/>
      <c r="E307" s="256">
        <f t="shared" si="4"/>
        <v>0</v>
      </c>
      <c r="F307" s="222"/>
      <c r="G307" s="222"/>
      <c r="H307" s="222"/>
      <c r="I307" s="222"/>
      <c r="J307" s="222"/>
      <c r="K307" s="222"/>
      <c r="L307" s="222"/>
    </row>
    <row r="308" spans="1:12">
      <c r="A308" s="222"/>
      <c r="B308" s="222"/>
      <c r="C308" s="222"/>
      <c r="D308" s="218"/>
      <c r="E308" s="256">
        <f t="shared" si="4"/>
        <v>0</v>
      </c>
      <c r="F308" s="222"/>
      <c r="G308" s="222"/>
      <c r="H308" s="222"/>
      <c r="I308" s="222"/>
      <c r="J308" s="222"/>
      <c r="K308" s="222"/>
      <c r="L308" s="222"/>
    </row>
    <row r="309" spans="1:12">
      <c r="A309" s="222"/>
      <c r="B309" s="222"/>
      <c r="C309" s="222"/>
      <c r="D309" s="222"/>
      <c r="E309" s="271">
        <f>SUM(E8:E308)-2</f>
        <v>12933538.570000002</v>
      </c>
      <c r="F309" s="222"/>
      <c r="G309" s="222"/>
      <c r="H309" s="222"/>
      <c r="I309" s="222"/>
      <c r="J309" s="222"/>
      <c r="K309" s="222"/>
      <c r="L309" s="222"/>
    </row>
    <row r="310" spans="1:12">
      <c r="E310" s="272"/>
    </row>
  </sheetData>
  <mergeCells count="3">
    <mergeCell ref="A5:H5"/>
    <mergeCell ref="A6:C6"/>
    <mergeCell ref="D6:J6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C27:D27 C24:C25 C29 C34 C15 C20:C22 C8:C11 C31 C17:C18 D8 D14:D16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OBLIGACIONES</vt:lpstr>
      <vt:lpstr>ORIGEN INGRESOS HOSP-</vt:lpstr>
      <vt:lpstr>SERVICIOS PRESTADOS</vt:lpstr>
      <vt:lpstr>COMPROMISIO DE DEUDA NUEVO</vt:lpstr>
      <vt:lpstr>DEUDA POR SUPLIDOR</vt:lpstr>
      <vt:lpstr>DEUDA POR FACTURA</vt:lpstr>
      <vt:lpstr>DEUDA POR ANTIGUEDAD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Ynes Danilda Abreu Ureña</dc:creator>
  <cp:lastModifiedBy>user</cp:lastModifiedBy>
  <cp:lastPrinted>2026-01-06T16:04:49Z</cp:lastPrinted>
  <dcterms:created xsi:type="dcterms:W3CDTF">2021-03-11T12:14:44Z</dcterms:created>
  <dcterms:modified xsi:type="dcterms:W3CDTF">2026-01-06T17:15:25Z</dcterms:modified>
</cp:coreProperties>
</file>