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 tabRatio="815" activeTab="3"/>
  </bookViews>
  <sheets>
    <sheet name="Deuda por Objeto" sheetId="38" r:id="rId1"/>
    <sheet name="Deuda Por suplidor " sheetId="37" r:id="rId2"/>
    <sheet name="DEUDA RESUMEN " sheetId="3" r:id="rId3"/>
    <sheet name="GASTOS X MES FR" sheetId="31" r:id="rId4"/>
    <sheet name="RESUMEN ARS " sheetId="8" r:id="rId5"/>
    <sheet name="INGRESOS X FACT" sheetId="33" r:id="rId6"/>
    <sheet name="No tocar Uso liby " sheetId="34" r:id="rId7"/>
  </sheets>
  <externalReferences>
    <externalReference r:id="rId8"/>
    <externalReference r:id="rId9"/>
    <externalReference r:id="rId10"/>
  </externalReferences>
  <definedNames>
    <definedName name="_xlnm._FilterDatabase" localSheetId="3" hidden="1">'GASTOS X MES FR'!$C$15:$AL$15</definedName>
    <definedName name="_xlnm.Print_Area" localSheetId="2">'DEUDA RESUMEN '!$A$1:$E$22</definedName>
    <definedName name="_xlnm.Print_Area" localSheetId="3">'GASTOS X MES FR'!$A$1:$AR$55</definedName>
    <definedName name="_xlnm.Print_Area" localSheetId="4">'RESUMEN ARS '!$A$1:$I$22</definedName>
  </definedNames>
  <calcPr calcId="144525"/>
</workbook>
</file>

<file path=xl/calcChain.xml><?xml version="1.0" encoding="utf-8"?>
<calcChain xmlns="http://schemas.openxmlformats.org/spreadsheetml/2006/main">
  <c r="AE54" i="31" l="1"/>
  <c r="AD28" i="31"/>
  <c r="V54" i="31" l="1"/>
  <c r="AB51" i="31"/>
  <c r="Y51" i="31"/>
  <c r="V51" i="31"/>
  <c r="Y33" i="31"/>
  <c r="AB29" i="31"/>
  <c r="AB55" i="31" s="1"/>
  <c r="Y16" i="31"/>
  <c r="U12" i="31"/>
  <c r="R12" i="31"/>
  <c r="AA10" i="31"/>
  <c r="AA12" i="31" s="1"/>
  <c r="X10" i="31"/>
  <c r="X12" i="31" s="1"/>
  <c r="AA8" i="31"/>
  <c r="X8" i="31"/>
  <c r="R55" i="31"/>
  <c r="S55" i="31"/>
  <c r="U55" i="31"/>
  <c r="V55" i="31"/>
  <c r="W55" i="31"/>
  <c r="X55" i="31"/>
  <c r="Y55" i="31"/>
  <c r="AA55" i="31"/>
  <c r="AC55" i="31"/>
  <c r="AD8" i="31" l="1"/>
  <c r="AF55" i="31"/>
  <c r="AD55" i="31"/>
  <c r="AD54" i="31"/>
  <c r="AE52" i="31"/>
  <c r="AE51" i="31"/>
  <c r="AE39" i="31"/>
  <c r="AE38" i="31"/>
  <c r="AE33" i="31"/>
  <c r="AE55" i="31" s="1"/>
  <c r="V11" i="33"/>
  <c r="U11" i="33"/>
  <c r="P11" i="33"/>
  <c r="O11" i="33"/>
  <c r="G19" i="8"/>
  <c r="E19" i="8" s="1"/>
  <c r="E18" i="8"/>
  <c r="G17" i="8"/>
  <c r="E17" i="8"/>
  <c r="H16" i="8"/>
  <c r="G16" i="8" s="1"/>
  <c r="E16" i="8" s="1"/>
  <c r="G15" i="8"/>
  <c r="E15" i="8" s="1"/>
  <c r="H14" i="8"/>
  <c r="G14" i="8"/>
  <c r="E14" i="8"/>
  <c r="L72" i="37" l="1"/>
  <c r="L35" i="38"/>
  <c r="L73" i="37" l="1"/>
  <c r="K73" i="37"/>
  <c r="L13" i="38"/>
  <c r="L86" i="37"/>
  <c r="L43" i="38"/>
  <c r="L29" i="38"/>
  <c r="L63" i="37"/>
  <c r="L23" i="38"/>
  <c r="L138" i="37"/>
  <c r="L28" i="38"/>
  <c r="L109" i="37"/>
  <c r="L30" i="38"/>
  <c r="L55" i="37"/>
  <c r="L25" i="38"/>
  <c r="L40" i="37"/>
  <c r="L34" i="38"/>
  <c r="L27" i="37"/>
  <c r="L31" i="38"/>
  <c r="L28" i="37"/>
  <c r="L41" i="37"/>
  <c r="L145" i="37"/>
  <c r="L57" i="37"/>
  <c r="D29" i="38" l="1"/>
  <c r="J20" i="38"/>
  <c r="K14" i="38"/>
  <c r="F23" i="38"/>
  <c r="F30" i="38"/>
  <c r="J31" i="38"/>
  <c r="L129" i="37" l="1"/>
  <c r="L41" i="38"/>
  <c r="L142" i="37"/>
  <c r="L32" i="37"/>
  <c r="L38" i="38"/>
  <c r="L26" i="38" l="1"/>
  <c r="L74" i="37" l="1"/>
  <c r="L110" i="37"/>
  <c r="L46" i="37"/>
  <c r="L18" i="38"/>
  <c r="L21" i="38"/>
  <c r="L136" i="37"/>
  <c r="L32" i="38"/>
  <c r="L30" i="37"/>
  <c r="L53" i="37" l="1"/>
  <c r="L39" i="37" l="1"/>
  <c r="L56" i="37"/>
  <c r="L58" i="37"/>
  <c r="K38" i="38"/>
  <c r="K32" i="38"/>
  <c r="L126" i="37"/>
  <c r="L144" i="37"/>
  <c r="L40" i="38"/>
  <c r="L112" i="37"/>
  <c r="L146" i="37" l="1"/>
  <c r="L24" i="38"/>
  <c r="L35" i="37"/>
  <c r="L131" i="37"/>
  <c r="L61" i="37"/>
  <c r="D151" i="37" l="1"/>
  <c r="E151" i="37"/>
  <c r="F151" i="37"/>
  <c r="G151" i="37"/>
  <c r="H151" i="37"/>
  <c r="I151" i="37"/>
  <c r="J151" i="37"/>
  <c r="K151" i="37"/>
  <c r="L151" i="37"/>
  <c r="C147" i="37"/>
  <c r="C148" i="37"/>
  <c r="C149" i="37"/>
  <c r="C150" i="37"/>
  <c r="L48" i="37"/>
  <c r="L33" i="37"/>
  <c r="L105" i="37" l="1"/>
  <c r="L143" i="37" l="1"/>
  <c r="L54" i="37"/>
  <c r="L51" i="37"/>
  <c r="L80" i="37" l="1"/>
  <c r="L12" i="38"/>
  <c r="C146" i="37" l="1"/>
  <c r="C143" i="37"/>
  <c r="L15" i="38" l="1"/>
  <c r="L128" i="37" l="1"/>
  <c r="L31" i="37"/>
  <c r="L52" i="37" l="1"/>
  <c r="L87" i="37"/>
  <c r="K117" i="37" l="1"/>
  <c r="L39" i="38" l="1"/>
  <c r="L134" i="37" l="1"/>
  <c r="L140" i="37" l="1"/>
  <c r="L139" i="37"/>
  <c r="K31" i="37" l="1"/>
  <c r="C144" i="37" l="1"/>
  <c r="C145" i="37"/>
  <c r="A144" i="37"/>
  <c r="A145" i="37"/>
  <c r="L79" i="37" l="1"/>
  <c r="L71" i="37" l="1"/>
  <c r="L99" i="37" l="1"/>
  <c r="L119" i="37" l="1"/>
  <c r="L50" i="37"/>
  <c r="L127" i="37" l="1"/>
  <c r="K27" i="37" l="1"/>
  <c r="K31" i="38"/>
  <c r="L36" i="37" l="1"/>
  <c r="L70" i="37"/>
  <c r="L69" i="37"/>
  <c r="C142" i="37" l="1"/>
  <c r="L100" i="37" l="1"/>
  <c r="L117" i="37" l="1"/>
  <c r="K13" i="38" l="1"/>
  <c r="C13" i="38" s="1"/>
  <c r="C140" i="37" l="1"/>
  <c r="C41" i="38"/>
  <c r="L141" i="37"/>
  <c r="C141" i="37" s="1"/>
  <c r="C139" i="37"/>
  <c r="K15" i="38" l="1"/>
  <c r="J15" i="38"/>
  <c r="L11" i="33" l="1"/>
  <c r="K11" i="33"/>
  <c r="P54" i="31" l="1"/>
  <c r="P53" i="31"/>
  <c r="P51" i="31"/>
  <c r="P55" i="31" s="1"/>
  <c r="O10" i="31" l="1"/>
  <c r="Z12" i="33" l="1"/>
  <c r="Z33" i="33" s="1"/>
  <c r="Y12" i="33"/>
  <c r="Y33" i="33" s="1"/>
  <c r="X12" i="33"/>
  <c r="X33" i="33" s="1"/>
  <c r="W12" i="33"/>
  <c r="W33" i="33" s="1"/>
  <c r="V12" i="33"/>
  <c r="V33" i="33" s="1"/>
  <c r="U12" i="33"/>
  <c r="U33" i="33" s="1"/>
  <c r="T12" i="33"/>
  <c r="T33" i="33" s="1"/>
  <c r="S12" i="33"/>
  <c r="S33" i="33" s="1"/>
  <c r="R12" i="33"/>
  <c r="R33" i="33" s="1"/>
  <c r="Q12" i="33"/>
  <c r="Q33" i="33" s="1"/>
  <c r="P12" i="33"/>
  <c r="P33" i="33" s="1"/>
  <c r="O12" i="33"/>
  <c r="O33" i="33" s="1"/>
  <c r="N12" i="33"/>
  <c r="N33" i="33" s="1"/>
  <c r="M12" i="33"/>
  <c r="M33" i="33" s="1"/>
  <c r="L12" i="33"/>
  <c r="L33" i="33" s="1"/>
  <c r="K12" i="33"/>
  <c r="K33" i="33" s="1"/>
  <c r="J12" i="33"/>
  <c r="J33" i="33" s="1"/>
  <c r="I12" i="33"/>
  <c r="I33" i="33" s="1"/>
  <c r="H12" i="33"/>
  <c r="H33" i="33" s="1"/>
  <c r="G12" i="33"/>
  <c r="G33" i="33" s="1"/>
  <c r="D12" i="33"/>
  <c r="D33" i="33" s="1"/>
  <c r="C12" i="33"/>
  <c r="C33" i="33" s="1"/>
  <c r="F11" i="33"/>
  <c r="F12" i="33" s="1"/>
  <c r="F33" i="33" s="1"/>
  <c r="E11" i="33"/>
  <c r="E12" i="33" s="1"/>
  <c r="E33" i="33" s="1"/>
  <c r="AB10" i="33"/>
  <c r="AA10" i="33"/>
  <c r="AA12" i="33" s="1"/>
  <c r="AA33" i="33" s="1"/>
  <c r="A6" i="33"/>
  <c r="AB11" i="33" l="1"/>
  <c r="AB12" i="33" s="1"/>
  <c r="AB33" i="33" s="1"/>
  <c r="I22" i="8" l="1"/>
  <c r="G22" i="8"/>
  <c r="F22" i="8"/>
  <c r="E21" i="8"/>
  <c r="E20" i="8"/>
  <c r="E13" i="8"/>
  <c r="E12" i="8"/>
  <c r="H11" i="8"/>
  <c r="E11" i="8" s="1"/>
  <c r="E10" i="8"/>
  <c r="B9" i="8"/>
  <c r="AL55" i="31"/>
  <c r="AK55" i="31"/>
  <c r="AJ55" i="31"/>
  <c r="AI55" i="31"/>
  <c r="AH55" i="31"/>
  <c r="AG55" i="31"/>
  <c r="K55" i="31"/>
  <c r="I55" i="31"/>
  <c r="F55" i="31"/>
  <c r="E55" i="31"/>
  <c r="D55" i="31"/>
  <c r="C55" i="31"/>
  <c r="AM54" i="31"/>
  <c r="G54" i="31"/>
  <c r="AN54" i="31" s="1"/>
  <c r="AN53" i="31"/>
  <c r="AM53" i="31"/>
  <c r="AN52" i="31"/>
  <c r="AM52" i="31"/>
  <c r="AM51" i="31"/>
  <c r="J51" i="31"/>
  <c r="AN51" i="31" s="1"/>
  <c r="AN50" i="31"/>
  <c r="AM50" i="31"/>
  <c r="AN49" i="31"/>
  <c r="AM49" i="31"/>
  <c r="AN48" i="31"/>
  <c r="AM48" i="31"/>
  <c r="AN47" i="31"/>
  <c r="AM47" i="31"/>
  <c r="AN46" i="31"/>
  <c r="AM46" i="31"/>
  <c r="AN45" i="31"/>
  <c r="AM45" i="31"/>
  <c r="AN44" i="31"/>
  <c r="AM44" i="31"/>
  <c r="AN43" i="31"/>
  <c r="AM43" i="31"/>
  <c r="AN42" i="31"/>
  <c r="L42" i="31"/>
  <c r="AM42" i="31" s="1"/>
  <c r="AN41" i="31"/>
  <c r="L41" i="31"/>
  <c r="AM41" i="31" s="1"/>
  <c r="AN40" i="31"/>
  <c r="L40" i="31"/>
  <c r="AM40" i="31" s="1"/>
  <c r="AN39" i="31"/>
  <c r="AM39" i="31"/>
  <c r="AM38" i="31"/>
  <c r="M38" i="31"/>
  <c r="AN38" i="31" s="1"/>
  <c r="AM37" i="31"/>
  <c r="J37" i="31"/>
  <c r="AN37" i="31" s="1"/>
  <c r="AN36" i="31"/>
  <c r="AM36" i="31"/>
  <c r="AN35" i="31"/>
  <c r="AM35" i="31"/>
  <c r="AN34" i="31"/>
  <c r="AM34" i="31"/>
  <c r="AN33" i="31"/>
  <c r="AM33" i="31"/>
  <c r="AN32" i="31"/>
  <c r="AM32" i="31"/>
  <c r="AN31" i="31"/>
  <c r="AM31" i="31"/>
  <c r="AN30" i="31"/>
  <c r="AM30" i="31"/>
  <c r="AM29" i="31"/>
  <c r="G29" i="31"/>
  <c r="AN29" i="31" s="1"/>
  <c r="AN28" i="31"/>
  <c r="L28" i="31"/>
  <c r="AM28" i="31" s="1"/>
  <c r="AN27" i="31"/>
  <c r="AM27" i="31"/>
  <c r="AN26" i="31"/>
  <c r="AM26" i="31"/>
  <c r="AN25" i="31"/>
  <c r="AM25" i="31"/>
  <c r="AN24" i="31"/>
  <c r="L24" i="31"/>
  <c r="AM24" i="31" s="1"/>
  <c r="AN23" i="31"/>
  <c r="AM23" i="31"/>
  <c r="AN22" i="31"/>
  <c r="AM22" i="31"/>
  <c r="AN21" i="31"/>
  <c r="AM21" i="31"/>
  <c r="AN20" i="31"/>
  <c r="AM20" i="31"/>
  <c r="AN19" i="31"/>
  <c r="AM19" i="31"/>
  <c r="AN18" i="31"/>
  <c r="AM18" i="31"/>
  <c r="AN17" i="31"/>
  <c r="AM17" i="31"/>
  <c r="AM16" i="31"/>
  <c r="M16" i="31"/>
  <c r="M55" i="31" s="1"/>
  <c r="J16" i="31"/>
  <c r="J55" i="31" s="1"/>
  <c r="G16" i="31"/>
  <c r="AJ12" i="31"/>
  <c r="AG12" i="31"/>
  <c r="AD12" i="31"/>
  <c r="O12" i="31"/>
  <c r="AM11" i="31"/>
  <c r="AM10" i="31"/>
  <c r="AM9" i="31"/>
  <c r="L8" i="31"/>
  <c r="L12" i="31" s="1"/>
  <c r="I8" i="31"/>
  <c r="I12" i="31" s="1"/>
  <c r="F8" i="31"/>
  <c r="F12" i="31" s="1"/>
  <c r="C8" i="31"/>
  <c r="A2" i="31"/>
  <c r="J19" i="3"/>
  <c r="G19" i="3"/>
  <c r="F19" i="3"/>
  <c r="E19" i="3"/>
  <c r="D19" i="3"/>
  <c r="C19" i="3"/>
  <c r="L18" i="3"/>
  <c r="M18" i="3" s="1"/>
  <c r="L17" i="3"/>
  <c r="M17" i="3" s="1"/>
  <c r="L16" i="3"/>
  <c r="M16" i="3" s="1"/>
  <c r="L15" i="3"/>
  <c r="M15" i="3" s="1"/>
  <c r="L14" i="3"/>
  <c r="M14" i="3" s="1"/>
  <c r="L13" i="3"/>
  <c r="M13" i="3" s="1"/>
  <c r="L12" i="3"/>
  <c r="M12" i="3" s="1"/>
  <c r="L11" i="3"/>
  <c r="M11" i="3" s="1"/>
  <c r="I10" i="3"/>
  <c r="I19" i="3" s="1"/>
  <c r="H10" i="3"/>
  <c r="H19" i="3" s="1"/>
  <c r="L9" i="3"/>
  <c r="M9" i="3" s="1"/>
  <c r="L8" i="3"/>
  <c r="M8" i="3" s="1"/>
  <c r="M7" i="3"/>
  <c r="L7" i="3"/>
  <c r="A4" i="3"/>
  <c r="B6" i="3" s="1"/>
  <c r="L19" i="3" l="1"/>
  <c r="AM8" i="31"/>
  <c r="AM12" i="31" s="1"/>
  <c r="AN16" i="31"/>
  <c r="AN55" i="31" s="1"/>
  <c r="E22" i="8"/>
  <c r="H22" i="8"/>
  <c r="AM55" i="31"/>
  <c r="G55" i="31"/>
  <c r="L55" i="31"/>
  <c r="C12" i="31"/>
  <c r="L10" i="3"/>
  <c r="M10" i="3" s="1"/>
  <c r="M19" i="3" s="1"/>
  <c r="C138" i="37" l="1"/>
  <c r="L121" i="37" l="1"/>
  <c r="L132" i="37" l="1"/>
  <c r="L137" i="37" l="1"/>
  <c r="C137" i="37"/>
  <c r="C136" i="37"/>
  <c r="K21" i="38" l="1"/>
  <c r="K18" i="38"/>
  <c r="L120" i="37" l="1"/>
  <c r="K53" i="37" l="1"/>
  <c r="L130" i="37"/>
  <c r="K28" i="38" l="1"/>
  <c r="K56" i="37"/>
  <c r="L65" i="37"/>
  <c r="K29" i="38"/>
  <c r="J28" i="38"/>
  <c r="K106" i="37"/>
  <c r="K110" i="37"/>
  <c r="J43" i="38" l="1"/>
  <c r="K36" i="37" l="1"/>
  <c r="L135" i="37" l="1"/>
  <c r="C135" i="37"/>
  <c r="K33" i="37" l="1"/>
  <c r="K74" i="37" l="1"/>
  <c r="K63" i="37" l="1"/>
  <c r="G23" i="38"/>
  <c r="K23" i="38"/>
  <c r="C134" i="37" l="1"/>
  <c r="L133" i="37" l="1"/>
  <c r="C133" i="37" l="1"/>
  <c r="L98" i="37"/>
  <c r="C132" i="37"/>
  <c r="L90" i="37" l="1"/>
  <c r="K26" i="38" l="1"/>
  <c r="K25" i="38"/>
  <c r="K30" i="38"/>
  <c r="K28" i="37"/>
  <c r="J21" i="38" l="1"/>
  <c r="C21" i="38" s="1"/>
  <c r="J18" i="38"/>
  <c r="K50" i="37" l="1"/>
  <c r="I43" i="38"/>
  <c r="K52" i="37"/>
  <c r="K86" i="37"/>
  <c r="K123" i="37" l="1"/>
  <c r="C131" i="37" l="1"/>
  <c r="C130" i="37" l="1"/>
  <c r="C129" i="37" l="1"/>
  <c r="K68" i="37" l="1"/>
  <c r="L125" i="37"/>
  <c r="K32" i="37" l="1"/>
  <c r="C38" i="38"/>
  <c r="K71" i="37"/>
  <c r="K51" i="37"/>
  <c r="K122" i="37" l="1"/>
  <c r="K104" i="37" l="1"/>
  <c r="K43" i="38" l="1"/>
  <c r="C43" i="38" s="1"/>
  <c r="K30" i="37" l="1"/>
  <c r="C101" i="37" l="1"/>
  <c r="C51" i="37" l="1"/>
  <c r="C128" i="37"/>
  <c r="L66" i="37" l="1"/>
  <c r="C7" i="37" l="1"/>
  <c r="K41" i="37"/>
  <c r="C127" i="37" l="1"/>
  <c r="C125" i="37"/>
  <c r="C126" i="37"/>
  <c r="K119" i="37" l="1"/>
  <c r="K19" i="38" l="1"/>
  <c r="C19" i="38" s="1"/>
  <c r="K8" i="37"/>
  <c r="K124" i="37" l="1"/>
  <c r="K57" i="37" l="1"/>
  <c r="K46" i="37"/>
  <c r="K120" i="37"/>
  <c r="K111" i="37"/>
  <c r="K121" i="37" l="1"/>
  <c r="K40" i="37" l="1"/>
  <c r="K34" i="38"/>
  <c r="K109" i="37" l="1"/>
  <c r="C9" i="37" l="1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38" i="37"/>
  <c r="C40" i="37"/>
  <c r="C47" i="37"/>
  <c r="C48" i="37"/>
  <c r="C57" i="37"/>
  <c r="C66" i="37"/>
  <c r="C67" i="37"/>
  <c r="C73" i="37"/>
  <c r="C75" i="37"/>
  <c r="C86" i="37"/>
  <c r="C90" i="37"/>
  <c r="C104" i="37"/>
  <c r="C106" i="37"/>
  <c r="C109" i="37"/>
  <c r="C119" i="37"/>
  <c r="C120" i="37"/>
  <c r="C121" i="37"/>
  <c r="C122" i="37"/>
  <c r="C123" i="37"/>
  <c r="C124" i="37"/>
  <c r="C8" i="38"/>
  <c r="C9" i="38"/>
  <c r="C10" i="38"/>
  <c r="C11" i="38"/>
  <c r="C17" i="38"/>
  <c r="C22" i="38"/>
  <c r="C24" i="38"/>
  <c r="C27" i="38"/>
  <c r="C33" i="38"/>
  <c r="C36" i="38"/>
  <c r="C37" i="38"/>
  <c r="L42" i="38"/>
  <c r="L44" i="38" s="1"/>
  <c r="C32" i="37"/>
  <c r="C33" i="37" l="1"/>
  <c r="C28" i="37" l="1"/>
  <c r="K79" i="37" l="1"/>
  <c r="C79" i="37" s="1"/>
  <c r="C34" i="38" l="1"/>
  <c r="C110" i="37"/>
  <c r="C26" i="38"/>
  <c r="C71" i="37"/>
  <c r="C53" i="37" l="1"/>
  <c r="K113" i="37"/>
  <c r="C113" i="37" s="1"/>
  <c r="K114" i="37"/>
  <c r="C114" i="37" s="1"/>
  <c r="K115" i="37"/>
  <c r="C115" i="37" s="1"/>
  <c r="K116" i="37"/>
  <c r="C116" i="37" s="1"/>
  <c r="C117" i="37"/>
  <c r="K118" i="37"/>
  <c r="C118" i="37" s="1"/>
  <c r="C68" i="37"/>
  <c r="C15" i="38"/>
  <c r="K55" i="37" l="1"/>
  <c r="C55" i="37" s="1"/>
  <c r="C32" i="38"/>
  <c r="K70" i="37" l="1"/>
  <c r="C70" i="37" s="1"/>
  <c r="C63" i="37" l="1"/>
  <c r="K84" i="37"/>
  <c r="C84" i="37" s="1"/>
  <c r="K72" i="37"/>
  <c r="K35" i="38"/>
  <c r="C30" i="37" l="1"/>
  <c r="C111" i="37" l="1"/>
  <c r="K76" i="37"/>
  <c r="C76" i="37" s="1"/>
  <c r="K95" i="37" l="1"/>
  <c r="C95" i="37" s="1"/>
  <c r="K39" i="38" l="1"/>
  <c r="K100" i="37" l="1"/>
  <c r="C100" i="37" s="1"/>
  <c r="C74" i="37"/>
  <c r="K40" i="38"/>
  <c r="C40" i="38" s="1"/>
  <c r="J27" i="37" l="1"/>
  <c r="K92" i="37"/>
  <c r="C92" i="37" s="1"/>
  <c r="K69" i="37" l="1"/>
  <c r="K81" i="37" l="1"/>
  <c r="C81" i="37" s="1"/>
  <c r="K112" i="37" l="1"/>
  <c r="C112" i="37" s="1"/>
  <c r="K108" i="37"/>
  <c r="C108" i="37" s="1"/>
  <c r="K107" i="37"/>
  <c r="C107" i="37" s="1"/>
  <c r="K105" i="37"/>
  <c r="C105" i="37" s="1"/>
  <c r="K103" i="37"/>
  <c r="C103" i="37" s="1"/>
  <c r="K102" i="37"/>
  <c r="C102" i="37" s="1"/>
  <c r="K96" i="37"/>
  <c r="C96" i="37" s="1"/>
  <c r="K99" i="37"/>
  <c r="C99" i="37" s="1"/>
  <c r="K98" i="37"/>
  <c r="C98" i="37" s="1"/>
  <c r="K97" i="37"/>
  <c r="C97" i="37" s="1"/>
  <c r="K94" i="37"/>
  <c r="C94" i="37" s="1"/>
  <c r="K93" i="37"/>
  <c r="C93" i="37" s="1"/>
  <c r="K91" i="37"/>
  <c r="C91" i="37" s="1"/>
  <c r="K89" i="37"/>
  <c r="C89" i="37" s="1"/>
  <c r="K88" i="37"/>
  <c r="C88" i="37" s="1"/>
  <c r="K87" i="37"/>
  <c r="C87" i="37" s="1"/>
  <c r="K85" i="37"/>
  <c r="C85" i="37" s="1"/>
  <c r="K83" i="37"/>
  <c r="C83" i="37" s="1"/>
  <c r="K82" i="37"/>
  <c r="C82" i="37" s="1"/>
  <c r="J80" i="37"/>
  <c r="C80" i="37" s="1"/>
  <c r="K78" i="37"/>
  <c r="C78" i="37" s="1"/>
  <c r="K77" i="37"/>
  <c r="C77" i="37" s="1"/>
  <c r="J72" i="37"/>
  <c r="C72" i="37" s="1"/>
  <c r="J69" i="37"/>
  <c r="C69" i="37" s="1"/>
  <c r="K65" i="37"/>
  <c r="C65" i="37" s="1"/>
  <c r="K64" i="37"/>
  <c r="C64" i="37" s="1"/>
  <c r="K62" i="37"/>
  <c r="C62" i="37" s="1"/>
  <c r="K61" i="37"/>
  <c r="C61" i="37" s="1"/>
  <c r="K60" i="37"/>
  <c r="C60" i="37" s="1"/>
  <c r="K59" i="37"/>
  <c r="C59" i="37" s="1"/>
  <c r="K58" i="37"/>
  <c r="C58" i="37" s="1"/>
  <c r="J56" i="37"/>
  <c r="C56" i="37" s="1"/>
  <c r="K54" i="37"/>
  <c r="C54" i="37" s="1"/>
  <c r="J52" i="37"/>
  <c r="C52" i="37" s="1"/>
  <c r="J50" i="37"/>
  <c r="C50" i="37" s="1"/>
  <c r="K49" i="37"/>
  <c r="J49" i="37"/>
  <c r="J46" i="37"/>
  <c r="C46" i="37" s="1"/>
  <c r="K45" i="37"/>
  <c r="J45" i="37"/>
  <c r="K44" i="37"/>
  <c r="C44" i="37" s="1"/>
  <c r="K43" i="37"/>
  <c r="J43" i="37"/>
  <c r="K42" i="37"/>
  <c r="C42" i="37" s="1"/>
  <c r="J41" i="37"/>
  <c r="C41" i="37" s="1"/>
  <c r="K39" i="37"/>
  <c r="J39" i="37"/>
  <c r="K37" i="37"/>
  <c r="J37" i="37"/>
  <c r="C36" i="37"/>
  <c r="K35" i="37"/>
  <c r="J35" i="37"/>
  <c r="K34" i="37"/>
  <c r="J34" i="37"/>
  <c r="C34" i="37" s="1"/>
  <c r="J31" i="37"/>
  <c r="C31" i="37" s="1"/>
  <c r="K29" i="37"/>
  <c r="I27" i="37"/>
  <c r="J8" i="37"/>
  <c r="J39" i="38"/>
  <c r="C39" i="38" s="1"/>
  <c r="J35" i="38"/>
  <c r="C35" i="38" s="1"/>
  <c r="I31" i="38"/>
  <c r="J30" i="38"/>
  <c r="C30" i="38" s="1"/>
  <c r="C29" i="38"/>
  <c r="F28" i="38"/>
  <c r="J25" i="38"/>
  <c r="C25" i="38" s="1"/>
  <c r="G42" i="38"/>
  <c r="G44" i="38" s="1"/>
  <c r="E23" i="38"/>
  <c r="E42" i="38" s="1"/>
  <c r="E44" i="38" s="1"/>
  <c r="D23" i="38"/>
  <c r="C20" i="38"/>
  <c r="H18" i="38"/>
  <c r="C18" i="38" s="1"/>
  <c r="J16" i="38"/>
  <c r="C16" i="38" s="1"/>
  <c r="K42" i="38"/>
  <c r="J12" i="38"/>
  <c r="C12" i="38" s="1"/>
  <c r="C23" i="38" l="1"/>
  <c r="C28" i="38"/>
  <c r="C39" i="37"/>
  <c r="C43" i="37"/>
  <c r="C29" i="37"/>
  <c r="C35" i="37"/>
  <c r="C45" i="37"/>
  <c r="C8" i="37"/>
  <c r="I42" i="38"/>
  <c r="I44" i="38" s="1"/>
  <c r="C31" i="38"/>
  <c r="C14" i="38"/>
  <c r="K44" i="38"/>
  <c r="H42" i="38"/>
  <c r="H44" i="38" s="1"/>
  <c r="D42" i="38"/>
  <c r="D44" i="38" s="1"/>
  <c r="C27" i="37"/>
  <c r="C37" i="37"/>
  <c r="C49" i="37"/>
  <c r="F42" i="38"/>
  <c r="F44" i="38" s="1"/>
  <c r="J42" i="38"/>
  <c r="J44" i="38" s="1"/>
  <c r="C151" i="37" l="1"/>
  <c r="C42" i="38"/>
  <c r="C44" i="38" s="1"/>
  <c r="C152" i="37" l="1"/>
</calcChain>
</file>

<file path=xl/comments1.xml><?xml version="1.0" encoding="utf-8"?>
<comments xmlns="http://schemas.openxmlformats.org/spreadsheetml/2006/main">
  <authors>
    <author>Libanesa Feliz</author>
    <author>Ynes Danilda Abreu Ureña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Comprende los gastos por concepto de salario a personal que ocupe cargos del nivel profesional, técnicos y auxiliares con relación de dependencia, cumplimiento de horarios, contiene beneficios de seguridad social, proporción de regalía y vacaciones, con tiempo el cual conlleva una desvinculación al cumplir el periodo establecido en el contrato.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incentivos al personal en razón del rendimiento obtenido por el servidor público (sin importar su categoría) en el desempeño de su puesto de trabajo y/o su impacto en el cumplimiento de las metas y objetivos institucionales o del área a la que pertenece, en virtud de lo establecido en el artículo No. 3 de la Resolución No. 100-2018 del MAP.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telefónico de larga distancia al interior y exterior del país en los sistemas de telefonía fija y móvil o celular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necesidades diarias del personal en concepto de alimentación y hospedaje cuando está fuera del lugar habitual de trabajo dentro del país. Incluye el pago de viáticos a terceros relacionados con la institución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de fletes, terrestres, marítimos y aéreos. De acuerdo con normas vigentes, incluye servicios de mudanzas y fletes por el transporte de efectos personales de agentes del Estado desde y hacia el exterior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vehículos motorizados y no motorizados para el cumplimiento de las finalidades de las instituciones. Incluyen vehículos, grúas, elevadores y el arrendamiento de animales cuando sea procedente.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inmuebles y locales para oficinas, escuelas y habitaciones que se utilizarán en el desarrollo de las actividades de las instituciones públicas.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atender el pago de servicios que prestan los bancos.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bienes muebles, maquinarias, equipos de producción, oficinas, médicos, sanitarios, de investigación, deportivos, transporte, computación, mantenimiento de sistemas y de procesamiento de datos.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toda clase de maquinaria y equipos no comprendidos en los conceptos anteriores, como los de uso agropecuario, industrial, construcción, aeroespacial, de comunicaciones y telecomunicaciones y demás maquinarias y equipos eléctricos y electrónicos. Incluye la adquisición de herramientas y máquinas-herramientas. Adicionalmente comprende las refacciones y accesorios mayores correspondientes a este concepto.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escrito.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repuestos menores calificados exclusivamente como eléctricos, es decir, que forman parte integrante del circuito eléctrico de equipos y maquinarias movidos por electricidad o por cualquier clase de combustible; incluye la adquisición de bombillas, cables, interruptores, zócalos, tubos fluorescentes, accesorios de radios, lámparas de escritorio, electrodos, planchas, linternas, conductores, aisladores, fusibles, baterías, pilas, interruptores, conmutadores, enchufes, entre otros.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alimentos para animales (pasto, alfalfa, afrecho, avena, paja, carne, verdura, frutas, semillas, leche y sus derivados, etc.). Estos gastos corresponden a la alimentación de animales propiedad de las instituciones públicas como el ejército o la policía, ganadería, parques zoológicos, laboratorios de experimentación, etc.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adquisición de servicios de alimentos para el consumo humano, brindados por personas físicas y/o jurídicas, incluye provisión del servicio de alimentos y bebidas con la finalidad de ser consumidos de manera inmediata.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útiles de escritorio (lápices, lapiceros, bolígrafos, carpetas, broches, alfileres, grapadoras, saca grapas, perforadoras) y otros destinados al funcionamiento de oficinas. Se incluyen gastos destinados a la compra de útiles educacionales, tales como tizas, reglas, transportadores, punteros, etc. Alcanza también a adquisiciones de suministros inherentes al procesamiento de datos computacionales tales como papel y cintas para impresoras, discos, disquetes, casetes, tarjetas, tóner, memorias USB. etc.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contratos por servicios de publicidad y propaganda necesarios para dar a conocer al público información oficial. Incluye gastos para impresión y encuadernación de documentos.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medicamentos para hospitales, clínicas, policlínicas y dispensarios, como vitaminas y preparados de vitaminas, productos bacteriológicos, sueros, vacunas, penicilina, estreptomicina y otros antibióticos, así como quinina, cafeína y otros alcaloides opiáceos, productos opoterápicos, como plasma humano, insulina, hormonas, medicamentos preparados para uso interno y externo, productos para cirugía y mecánica dental y materiales de curación y otros medicamentos y productos farmacéuticos.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instrumental menor de uso práctico y científico en medicina, cirugía, odontología, veterinaria y laboratorio (estetoscopios, termómetros, probetas, jeringas, agujas, gasas, vendajes, material de sutura, guantes para cirujano) y demás útiles menores médico-quirúrgicos utilizados en hospitales, clínicas y demás dependencias médicas del sector público.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la adquisición de productos químicos inorgánicos (aire líquido y comprimido, acetileno y gases refrigerantes, sulfato de cobre, soda cáustica, carbonato de sodio y otros compuestos químicos inorgánicos). Se incluyen productos químicos orgánicos, tales como alcoholes, glicerina, aguarrás, químicos de uso personal y otros compuestos orgánicos. Comprenden también abonos naturales de origen animal o vegetal y fertilizantes destinados a labores agrícolas; insecticidas, raticidas, fungicidas, plaguicidas, herbicidas, productos antigerminantes, desinfectantes y otros productos químicos de similares características y usos. Adicionalmente se incluye todo lo referente a explosivos, pirotecnia y fotoquímicos. Se incluyen, además, tintas para escribir, dibujar y para imprenta, pinturas, barnices, esmaltes y lacas, colorantes y otros para uso en imprenta y talleres gráficos; masillas y preparados similares no refractarios, para relleno y enlucido, disolventes, diluyentes y removedores de pintura.</t>
        </r>
      </text>
    </comment>
    <comment ref="B32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petróleo parcialmente refinado, productos derivados del petróleo, como gasolina, aceites ligeros usados como carburantes, keroseno, aceite diésel y grasas lubricantes, gas natural y artificial; líquido de frenos y aceite para equipos de oficina.
</t>
        </r>
        <r>
          <rPr>
            <b/>
            <sz val="9"/>
            <color indexed="81"/>
            <rFont val="Tahoma"/>
            <family val="2"/>
          </rPr>
          <t>esta descripcion aplica para la secuencia de la cuenta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materiales para limpieza (jabones, detergentes en todas sus variedades, ceras y cremas para calzados, pisos, carrocerías, vidrios y metal). Incluye los preparados para desodorizar ambientes y los elementos o utensilios de limpieza (paños, cepillos, plumeros, secadores, escobas, escobillones, baldes, palanganas, etc.) utilizados en la limpieza e higiene de bienes y lugares públicos.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por concepto de inversiones en equipos y sus adicciones y reparaciones extraordinarias realizadas por contrato. Incluyen la adquisición de toda clase de mobiliario y equipo de administración; bienes informáticos y equipos de cómputo; bienes artísticos, obras de arte, objetos valiosos y otros elementos coleccionables. Comprenden también las refacciones y accesorios mayores correspondientes a mobiliario y equipo. Incluyen los pagos por adjudicación, expropiación e indemnización de bienes muebles a favor del Gobierno.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equipos, refacciones y accesorios mayores, utilizados en hospitales, unidades sanitarias, consultorios, servicios veterinarios y en los laboratorios auxiliares de ciencias médicas y de investigación científica,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incluyendo equipos de rescate y salvamento.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instrumentos utilizados en la ciencia médica, en general todo tipo de instrumentos médicos necesarios para operaciones quirúrgicas, dentales y oftalmológicas, entre otros. Incluye el instrumental utilizado en los laboratorios de investigación científica e instrumental de medición.</t>
        </r>
      </text>
    </comment>
  </commentList>
</comments>
</file>

<file path=xl/comments2.xml><?xml version="1.0" encoding="utf-8"?>
<comments xmlns="http://schemas.openxmlformats.org/spreadsheetml/2006/main">
  <authors>
    <author>Libanesa Feliz</author>
    <author>ADMINISTRACION</author>
    <author>Ynes Danilda Abreu Ureña</author>
    <author>Enc. Contabilidad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Detallar las fuentes de esos otros aportes.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Comprende los gastos por concepto de salario a personal que ocupe cargos del nivel profesional, técnicos y auxiliares con relación de dependencia, cumplimiento de horarios, contiene beneficios de seguridad social, proporción de regalía y vacaciones, con tiempo el cual conlleva una desvinculación al cumplir el periodo establecido en el contrato.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incentivos al personal en razón del rendimiento obtenido por el servidor público (sin importar su categoría) en el desempeño de su puesto de trabajo y/o su impacto en el cumplimiento de las metas y objetivos institucionales o del área a la que pertenece, en virtud de lo establecido en el artículo No. 3 de la Resolución No. 100-2018 del MAP.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telefónico de larga distancia al interior y exterior del país en los sistemas de telefonía fija y móvil o celular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necesidades diarias del personal en concepto de alimentación y hospedaje cuando está fuera del lugar habitual de trabajo dentro del país. Incluye el pago de viáticos a terceros relacionados con la institución</t>
        </r>
      </text>
    </comment>
    <comment ref="J2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viáticos y pasajes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de fletes, terrestres, marítimos y aéreos. De acuerdo con normas vigentes, incluye servicios de mudanzas y fletes por el transporte de efectos personales de agentes del Estado desde y hacia el exterior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vehículos motorizados y no motorizados para el cumplimiento de las finalidades de las instituciones. Incluyen vehículos, grúas, elevadores y el arrendamiento de animales cuando sea procedente.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inmuebles y locales para oficinas, escuelas y habitaciones que se utilizarán en el desarrollo de las actividades de las instituciones públicas.</t>
        </r>
      </text>
    </comment>
    <comment ref="V27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alquileres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atender el pago de servicios que prestan los bancos.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bienes muebles, maquinarias, equipos de producción, oficinas, médicos, sanitarios, de investigación, deportivos, transporte, computación, mantenimiento de sistemas y de procesamiento de datos.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toda clase de maquinaria y equipos no comprendidos en los conceptos anteriores, como los de uso agropecuario, industrial, construcción, aeroespacial, de comunicaciones y telecomunicaciones y demás maquinarias y equipos eléctricos y electrónicos. Incluye la adquisición de herramientas y máquinas-herramientas. Adicionalmente comprende las refacciones y accesorios mayores correspondientes a este concepto.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escrito.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repuestos menores calificados exclusivamente como eléctricos, es decir, que forman parte integrante del circuito eléctrico de equipos y maquinarias movidos por electricidad o por cualquier clase de combustible; incluye la adquisición de bombillas, cables, interruptores, zócalos, tubos fluorescentes, accesorios de radios, lámparas de escritorio, electrodos, planchas, linternas, conductores, aisladores, fusibles, baterías, pilas, interruptores, conmutadores, enchufes, entre otros.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alimentos para animales (pasto, alfalfa, afrecho, avena, paja, carne, verdura, frutas, semillas, leche y sus derivados, etc.). Estos gastos corresponden a la alimentación de animales propiedad de las instituciones públicas como el ejército o la policía, ganadería, parques zoológicos, laboratorios de experimentación, etc.</t>
        </r>
      </text>
    </comment>
    <comment ref="B36" authorId="2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adquisición de servicios de alimentos para el consumo humano, brindados por personas físicas y/o jurídicas, incluye provisión del servicio de alimentos y bebidas con la finalidad de ser consumidos de manera inmediata.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útiles de escritorio (lápices, lapiceros, bolígrafos, carpetas, broches, alfileres, grapadoras, saca grapas, perforadoras) y otros destinados al funcionamiento de oficinas. Se incluyen gastos destinados a la compra de útiles educacionales, tales como tizas, reglas, transportadores, punteros, etc. Alcanza también a adquisiciones de suministros inherentes al procesamiento de datos computacionales tales como papel y cintas para impresoras, discos, disquetes, casetes, tarjetas, tóner, memorias USB. etc.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contratos por servicios de publicidad y propaganda necesarios para dar a conocer al público información oficial. Incluye gastos para impresión y encuadernación de documentos.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medicamentos para hospitales, clínicas, policlínicas y dispensarios, como vitaminas y preparados de vitaminas, productos bacteriológicos, sueros, vacunas, penicilina, estreptomicina y otros antibióticos, así como quinina, cafeína y otros alcaloides opiáceos, productos opoterápicos, como plasma humano, insulina, hormonas, medicamentos preparados para uso interno y externo, productos para cirugía y mecánica dental y materiales de curación y otros medicamentos y productos farmacéuticos.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instrumental menor de uso práctico y científico en medicina, cirugía, odontología, veterinaria y laboratorio (estetoscopios, termómetros, probetas, jeringas, agujas, gasas, vendajes, material de sutura, guantes para cirujano) y demás útiles menores médico-quirúrgicos utilizados en hospitales, clínicas y demás dependencias médicas del sector público.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la adquisición de productos químicos inorgánicos (aire líquido y comprimido, acetileno y gases refrigerantes, sulfato de cobre, soda cáustica, carbonato de sodio y otros compuestos químicos inorgánicos). Se incluyen productos químicos orgánicos, tales como alcoholes, glicerina, aguarrás, químicos de uso personal y otros compuestos orgánicos. Comprenden también abonos naturales de origen animal o vegetal y fertilizantes destinados a labores agrícolas; insecticidas, raticidas, fungicidas, plaguicidas, herbicidas, productos antigerminantes, desinfectantes y otros productos químicos de similares características y usos. Adicionalmente se incluye todo lo referente a explosivos, pirotecnia y fotoquímicos. Se incluyen, además, tintas para escribir, dibujar y para imprenta, pinturas, barnices, esmaltes y lacas, colorantes y otros para uso en imprenta y talleres gráficos; masillas y preparados similares no refractarios, para relleno y enlucido, disolventes, diluyentes y removedores de pintura.</t>
        </r>
      </text>
    </comment>
    <comment ref="B44" authorId="2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petróleo parcialmente refinado, productos derivados del petróleo, como gasolina, aceites ligeros usados como carburantes, keroseno, aceite diésel y grasas lubricantes, gas natural y artificial; líquido de frenos y aceite para equipos de oficina.
</t>
        </r>
        <r>
          <rPr>
            <b/>
            <sz val="9"/>
            <color indexed="81"/>
            <rFont val="Tahoma"/>
            <family val="2"/>
          </rPr>
          <t>esta descripcion aplica para la secuencia de la cuenta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materiales para limpieza (jabones, detergentes en todas sus variedades, ceras y cremas para calzados, pisos, carrocerías, vidrios y metal). Incluye los preparados para desodorizar ambientes y los elementos o utensilios de limpieza (paños, cepillos, plumeros, secadores, escobas, escobillones, baldes, palanganas, etc.) utilizados en la limpieza e higiene de bienes y lugares públicos.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por concepto de inversiones en equipos y sus adicciones y reparaciones extraordinarias realizadas por contrato. Incluyen la adquisición de toda clase de mobiliario y equipo de administración; bienes informáticos y equipos de cómputo; bienes artísticos, obras de arte, objetos valiosos y otros elementos coleccionables. Comprenden también las refacciones y accesorios mayores correspondientes a mobiliario y equipo. Incluyen los pagos por adjudicación, expropiación e indemnización de bienes muebles a favor del Gobierno.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equipos, refacciones y accesorios mayores, utilizados en hospitales, unidades sanitarias, consultorios, servicios veterinarios y en los laboratorios auxiliares de ciencias médicas y de investigación científica,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incluyendo equipos de rescate y salvamento.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instrumentos utilizados en la ciencia médica, en general todo tipo de instrumentos médicos necesarios para operaciones quirúrgicas, dentales y oftalmológicas, entre otros. Incluye el instrumental utilizado en los laboratorios de investigación científica e instrumental de medición.</t>
        </r>
      </text>
    </comment>
    <comment ref="C54" authorId="1">
      <text>
        <r>
          <rPr>
            <b/>
            <sz val="9"/>
            <color indexed="81"/>
            <rFont val="Tahoma"/>
            <family val="2"/>
          </rPr>
          <t xml:space="preserve">ADMINISTRADOR
</t>
        </r>
        <r>
          <rPr>
            <sz val="9"/>
            <color indexed="81"/>
            <rFont val="Tahoma"/>
            <family val="2"/>
          </rPr>
          <t xml:space="preserve">Utensilios de cocina, tubos de cristal para laboratorios.
</t>
        </r>
      </text>
    </comment>
    <comment ref="D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Sistema de Informática, Otros serv.técnicos profesionales, Impuestos, otros repuestos y accesorios menores, prod.y utiles varios
, prod.fotoquímicos.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alquileres, mant.y reperac.instalaciones. impuestos, acabados textiles.
Otos repuestos y accesorios nmenores.productos y útiles varios.
</t>
        </r>
      </text>
    </comment>
    <comment ref="H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impuestos
</t>
        </r>
      </text>
    </comment>
    <comment ref="J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alquileres
serv.funerarios, otros serv.tecnicos profesionales, impuestos,
productos de papel y cartón.otros repuestos y accesorios menores. Productos y utiles varios
</t>
        </r>
      </text>
    </comment>
    <comment ref="L54" authorId="3">
      <text>
        <r>
          <rPr>
            <b/>
            <sz val="9"/>
            <color indexed="81"/>
            <rFont val="Tahoma"/>
            <family val="2"/>
          </rPr>
          <t>Enc. Contabilidad:</t>
        </r>
        <r>
          <rPr>
            <sz val="9"/>
            <color indexed="81"/>
            <rFont val="Tahoma"/>
            <family val="2"/>
          </rPr>
          <t xml:space="preserve">
Pasajes, Otros serv.tecnicos profesionales</t>
        </r>
      </text>
    </comment>
    <comment ref="M54" authorId="3">
      <text>
        <r>
          <rPr>
            <b/>
            <sz val="9"/>
            <color indexed="81"/>
            <rFont val="Tahoma"/>
            <family val="2"/>
          </rPr>
          <t>Enc. Contabilidad:</t>
        </r>
        <r>
          <rPr>
            <sz val="9"/>
            <color indexed="81"/>
            <rFont val="Tahoma"/>
            <family val="2"/>
          </rPr>
          <t xml:space="preserve">
Pasajes,Pinturas,otros repuestos y accesorios, Prod.y utiles varios, Programa de Informatica.
</t>
        </r>
      </text>
    </comment>
    <comment ref="N54" authorId="3">
      <text>
        <r>
          <rPr>
            <b/>
            <sz val="9"/>
            <color indexed="81"/>
            <rFont val="Tahoma"/>
            <family val="2"/>
          </rPr>
          <t>Enc. Contabilidad:</t>
        </r>
        <r>
          <rPr>
            <sz val="9"/>
            <color indexed="81"/>
            <rFont val="Tahoma"/>
            <family val="2"/>
          </rPr>
          <t xml:space="preserve">
Pasajes, Impuestos,
</t>
        </r>
      </text>
    </comment>
    <comment ref="P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Pasajes, Impuestos, Hilados y telas, Utensilios de cocina. Otros repuestos y accesorios menores. Prod.y útiles menores.
Muebles de alojamiento (Camas para médicos especialistas). Prog.Lab-Plus y Sistema Informático. Serv.Profesionales
Equipo computacional</t>
        </r>
      </text>
    </comment>
    <comment ref="R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Servicios Técnicos ofrecidos por personal de Bio Nuclear</t>
        </r>
      </text>
    </comment>
    <comment ref="S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Pasajes,Capacitaciones,Otros repuestos y accesorios menores, transf.afondos recibidos de Senasa a cuenta de odontología,Programa de Informática,</t>
        </r>
      </text>
    </comment>
    <comment ref="V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Pago Retenciones DGII, accesorios, útiles de cocina.Transferencias interbancarias de Seg.Soc.a Ayud y donac.Equipo Computacional.Programa de informática.</t>
        </r>
      </text>
    </comment>
    <comment ref="W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Pago retenciones DGII </t>
        </r>
      </text>
    </comment>
    <comment ref="X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serv.tecnicos profesionales</t>
        </r>
      </text>
    </comment>
    <comment ref="Y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Impuestos, productos aislantes,utensilios de cocina, otros repuestos y accesorios menores, productos y utiles varios, programa de informatica.</t>
        </r>
      </text>
    </comment>
    <comment ref="AA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Tapas de Tubo de Laboratorio,Tubos de laboratorio,
</t>
        </r>
      </text>
    </comment>
    <comment ref="AB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Pasajes,Renta de sillas y otros para actividades,
Pagos Retenciones a DGII, art.usados en laboratorio,
Piezas y Repuestos para la ambulancia, Prod.varios,
Camas para habitac.de  médicos especialistas, </t>
        </r>
      </text>
    </comment>
    <comment ref="AC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capacitación en congreso odontológico, Pago Retenc.DGII, Lockers depto.de odontología.</t>
        </r>
      </text>
    </comment>
    <comment ref="AD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artículso de caucho, artículos d evidrio</t>
        </r>
      </text>
    </comment>
    <comment ref="AE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Incentivos por 10% de ARS, pasajes,artículos de caucho, artículos de vidrio,productos de cemento,accesorios de metal, productos fotoquímicos, otros accesorios menores, productos y utiles varios, muebles d oficina, programa de informática, serv.especiales de mantenimiento y reparac.y serv.de informática y sistema computarizado.</t>
        </r>
      </text>
    </comment>
    <comment ref="AG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artículos de caucho, de vidrio,
</t>
        </r>
      </text>
    </comment>
    <comment ref="AH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Retenciones a suplidores, repuestos para ambulancia, transf.desde Senasa a Odnotología por serv.a usuarios. Programas de Informática.Serv.Técnicos profesionales
</t>
        </r>
      </text>
    </comment>
    <comment ref="AJ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serv.técnicos profesionales</t>
        </r>
      </text>
    </comment>
    <comment ref="AK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Regalia Pascual,Otros serv.técnicos profesionales, Impuestos, Prod.FotoquímicosOtros repuestos y accesorios menores y produc.varios</t>
        </r>
      </text>
    </comment>
  </commentList>
</comments>
</file>

<file path=xl/comments3.xml><?xml version="1.0" encoding="utf-8"?>
<comments xmlns="http://schemas.openxmlformats.org/spreadsheetml/2006/main">
  <authors>
    <author>Libanesa Feliz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ARS contratadas por el establecimiento.
 Todas, con ingresos y sin ingresos por facturacion.
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estas son las ARS de las cuales recibieron ingresos por Facturacion 
</t>
        </r>
      </text>
    </comment>
  </commentList>
</comments>
</file>

<file path=xl/comments4.xml><?xml version="1.0" encoding="utf-8"?>
<comments xmlns="http://schemas.openxmlformats.org/spreadsheetml/2006/main">
  <authors>
    <author>Libanesa Feliz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N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P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Q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S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T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V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W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X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Y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Z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AA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AB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</commentList>
</comments>
</file>

<file path=xl/sharedStrings.xml><?xml version="1.0" encoding="utf-8"?>
<sst xmlns="http://schemas.openxmlformats.org/spreadsheetml/2006/main" count="664" uniqueCount="326">
  <si>
    <t>NO.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</si>
  <si>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</si>
  <si>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</si>
  <si>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</si>
  <si>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</si>
  <si>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</si>
  <si>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</si>
  <si>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</si>
  <si>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</si>
  <si>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</si>
  <si>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Variacion</t>
  </si>
  <si>
    <t>%</t>
  </si>
  <si>
    <t xml:space="preserve">Total </t>
  </si>
  <si>
    <t>SERVICIO NACIONAL DE SALUD</t>
  </si>
  <si>
    <t xml:space="preserve">DETALLE EGRESOS </t>
  </si>
  <si>
    <t>TOTAL</t>
  </si>
  <si>
    <t>Venta de Servicios</t>
  </si>
  <si>
    <t xml:space="preserve">Viáticos </t>
  </si>
  <si>
    <t>Fletes</t>
  </si>
  <si>
    <t xml:space="preserve">Comisiones y Gastos Bancarios </t>
  </si>
  <si>
    <t>Reparación y Mantenimiento Maquinaria y Equipos</t>
  </si>
  <si>
    <t xml:space="preserve">Alimentos y Bebidas para Personas </t>
  </si>
  <si>
    <t xml:space="preserve">Gasolina </t>
  </si>
  <si>
    <t>Gasoil</t>
  </si>
  <si>
    <t>GLP</t>
  </si>
  <si>
    <t xml:space="preserve">Productos Eléctricos y Afines </t>
  </si>
  <si>
    <t>Oxigeno</t>
  </si>
  <si>
    <t xml:space="preserve">TOTAL </t>
  </si>
  <si>
    <t>No.</t>
  </si>
  <si>
    <t>Empleados</t>
  </si>
  <si>
    <t xml:space="preserve"> </t>
  </si>
  <si>
    <t>CANTIDAD DE ARS</t>
  </si>
  <si>
    <t>TOTAL INGRESOS</t>
  </si>
  <si>
    <t>REGIMEN SUBSIDIADO</t>
  </si>
  <si>
    <t>REGIMEN CONTRIBUTIVO</t>
  </si>
  <si>
    <t>CONTRIBUTIVO SENASA</t>
  </si>
  <si>
    <t xml:space="preserve">CONTRIBUTIVO OTRAS ARS </t>
  </si>
  <si>
    <t>AGOSTO</t>
  </si>
  <si>
    <t xml:space="preserve">Recibido </t>
  </si>
  <si>
    <t>Dirección de Fiscalización y Control</t>
  </si>
  <si>
    <t>"AÑO DE LA INNOVACION Y LA COMPETITIVIDAD"</t>
  </si>
  <si>
    <t xml:space="preserve">Servicio Nacional De Salud </t>
  </si>
  <si>
    <t xml:space="preserve">Dirección de Fiscalizacion y Control </t>
  </si>
  <si>
    <t>Ingresos Por Facturación ARS</t>
  </si>
  <si>
    <t>ARS</t>
  </si>
  <si>
    <t xml:space="preserve">ENERO </t>
  </si>
  <si>
    <t>SENASA SUBSIDIADO</t>
  </si>
  <si>
    <t>SENASA CONTRIBUTIVO</t>
  </si>
  <si>
    <t>Total SeNaSa</t>
  </si>
  <si>
    <t>PALIC SALUD</t>
  </si>
  <si>
    <t xml:space="preserve">ARL </t>
  </si>
  <si>
    <t>RENACER</t>
  </si>
  <si>
    <t>YUNEN</t>
  </si>
  <si>
    <t>UNIVERSAL</t>
  </si>
  <si>
    <t>HUMANO</t>
  </si>
  <si>
    <t xml:space="preserve">ARS PLANSALUD BANCO CENTRAL </t>
  </si>
  <si>
    <t xml:space="preserve">SEMMA </t>
  </si>
  <si>
    <t>FUTURO</t>
  </si>
  <si>
    <t>APS</t>
  </si>
  <si>
    <t>SALUD SEGURA</t>
  </si>
  <si>
    <t>CONSTITUCION</t>
  </si>
  <si>
    <t>META SALUD</t>
  </si>
  <si>
    <t>ASEMAP</t>
  </si>
  <si>
    <t>GMA</t>
  </si>
  <si>
    <t>MONUMENTAL</t>
  </si>
  <si>
    <t>CMD</t>
  </si>
  <si>
    <t>RESERVAS</t>
  </si>
  <si>
    <t>SIMAG</t>
  </si>
  <si>
    <t>SEMUNASED</t>
  </si>
  <si>
    <t>Compensacion por resultado ( incentivos)</t>
  </si>
  <si>
    <t>Compensaciones especiales (completivos a sueldo)</t>
  </si>
  <si>
    <t>Sueldo personal por servicios especiales ( suplencias)</t>
  </si>
  <si>
    <t>Sueldo personal contratado y/o  igualado</t>
  </si>
  <si>
    <t>Servicios Telefonía  e internet</t>
  </si>
  <si>
    <t>Alquileres de equipos de transporte, tracción y elevación</t>
  </si>
  <si>
    <t xml:space="preserve">Cuenta Objetal </t>
  </si>
  <si>
    <t>Alquileres y rentas de edificios y locales</t>
  </si>
  <si>
    <t>Utiles de escritorio, oficina, informatica y de enseñanza</t>
  </si>
  <si>
    <t>Utiles menores medico quirurgicos</t>
  </si>
  <si>
    <t>Productos medicinales para uso humano (medicamentos)</t>
  </si>
  <si>
    <t>Articulos de Plasticos</t>
  </si>
  <si>
    <t>Productos de papel, carton e impesos</t>
  </si>
  <si>
    <t>Material para limpieza</t>
  </si>
  <si>
    <t>Equipos  Médicos y de laboratorio</t>
  </si>
  <si>
    <t>Instrumental medico y de laboratorio</t>
  </si>
  <si>
    <t>Mobiliario Y Equipo</t>
  </si>
  <si>
    <t>Maquinaria, Otros Equipos Y Herramientas</t>
  </si>
  <si>
    <t>Lubricantes</t>
  </si>
  <si>
    <t>Aceites y grasa</t>
  </si>
  <si>
    <t xml:space="preserve">Publicidad Impresión y Encuadernación  </t>
  </si>
  <si>
    <t>Servicios de alimentación</t>
  </si>
  <si>
    <t>FR</t>
  </si>
  <si>
    <t>VS</t>
  </si>
  <si>
    <t xml:space="preserve">Otros aportes </t>
  </si>
  <si>
    <t>Contratación de obras menores</t>
  </si>
  <si>
    <t xml:space="preserve">Productos químicos y conexos ( Reactivos de laboratorio) </t>
  </si>
  <si>
    <t>NOVIEMBRE</t>
  </si>
  <si>
    <t>DICIEMBRE</t>
  </si>
  <si>
    <t>Servicios especiales de mantenimiento y reparación</t>
  </si>
  <si>
    <t xml:space="preserve">                                       (Valores en RD$)</t>
  </si>
  <si>
    <t>INGRESOS:</t>
  </si>
  <si>
    <t>Menos:</t>
  </si>
  <si>
    <t>FONDO MENSUAL</t>
  </si>
  <si>
    <t xml:space="preserve">DEUDA POR AÑO </t>
  </si>
  <si>
    <t xml:space="preserve">NOMINA INTERNA </t>
  </si>
  <si>
    <t xml:space="preserve">Servicio Nacional de Salud </t>
  </si>
  <si>
    <t>CANTIDAD DE ARS Contratadas</t>
  </si>
  <si>
    <t xml:space="preserve">Anticipo Financiero/ Fondo Reponible    </t>
  </si>
  <si>
    <t>Aporte Nominas SNS</t>
  </si>
  <si>
    <t xml:space="preserve">EGRESOS/GASTOS </t>
  </si>
  <si>
    <t xml:space="preserve">Superávit o Déficit </t>
  </si>
  <si>
    <t xml:space="preserve"> Con PROMESE</t>
  </si>
  <si>
    <t>Sin PROMESE</t>
  </si>
  <si>
    <t>PROMESE</t>
  </si>
  <si>
    <t>2018 Agosto</t>
  </si>
  <si>
    <t>NOMINA</t>
  </si>
  <si>
    <t>Promedio Mensual</t>
  </si>
  <si>
    <r>
      <t>Establecimiento: __________________________________________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Región</t>
    </r>
    <r>
      <rPr>
        <b/>
        <sz val="14"/>
        <color theme="1"/>
        <rFont val="Times New Roman"/>
        <family val="1"/>
      </rPr>
      <t>: __________</t>
    </r>
  </si>
  <si>
    <t>Montos</t>
  </si>
  <si>
    <t>RD$ _______________________</t>
  </si>
  <si>
    <t>Estado  Financiero</t>
  </si>
  <si>
    <t xml:space="preserve">Trimestre </t>
  </si>
  <si>
    <t xml:space="preserve">Direccion de Fiscalizacion y Control </t>
  </si>
  <si>
    <t>"Año de la Innovacion y la Competitividad"</t>
  </si>
  <si>
    <t>Consultas</t>
  </si>
  <si>
    <t>Egresos</t>
  </si>
  <si>
    <t>Emergencias</t>
  </si>
  <si>
    <t>Cirugia</t>
  </si>
  <si>
    <t>Partos</t>
  </si>
  <si>
    <t>Cesareas</t>
  </si>
  <si>
    <t xml:space="preserve"> Prueba De Laboratorio</t>
  </si>
  <si>
    <t>Servicio De Imágenes</t>
  </si>
  <si>
    <t>Atenciones Odontologicos</t>
  </si>
  <si>
    <t>Tranfusiones</t>
  </si>
  <si>
    <t>Atenciones A Extranjeros</t>
  </si>
  <si>
    <t xml:space="preserve"> _______________________</t>
  </si>
  <si>
    <t xml:space="preserve">Promedio dia Pacientes </t>
  </si>
  <si>
    <t xml:space="preserve">Camas </t>
  </si>
  <si>
    <t xml:space="preserve">PRODUCCION DE </t>
  </si>
  <si>
    <t xml:space="preserve">Nota </t>
  </si>
  <si>
    <t xml:space="preserve">Facturado </t>
  </si>
  <si>
    <t>Es obligatorio colocar el nombre del establecimiento y la region, para poder identificar</t>
  </si>
  <si>
    <t>(Valores en RD$)</t>
  </si>
  <si>
    <t>Suplidor</t>
  </si>
  <si>
    <t>Monto Deuda</t>
  </si>
  <si>
    <t>CUENTA NO.</t>
  </si>
  <si>
    <t xml:space="preserve">NOMBRE DE LA CUENTA </t>
  </si>
  <si>
    <t>MONTO DEUDA</t>
  </si>
  <si>
    <t>Sub total</t>
  </si>
  <si>
    <t>Otros objetos del gasto</t>
  </si>
  <si>
    <t>TOTAL EN RD$</t>
  </si>
  <si>
    <t>Anticipo Financiero</t>
  </si>
  <si>
    <t>Total Ingresos</t>
  </si>
  <si>
    <t>Ingresos:</t>
  </si>
  <si>
    <t>2do Trimestre</t>
  </si>
  <si>
    <t>3er Trimestre</t>
  </si>
  <si>
    <t>***NO INCLUYE DEUDA DE PROMESE.</t>
  </si>
  <si>
    <t>Estos ingresos son por servicios de odontología, depositados de forma automática en la cuenta de Seguridad Social dentro de los subsidiados y luego procedemos a transferirlos a la Cuenta de Odontología.</t>
  </si>
  <si>
    <t>Otros Aportes  (Serv.Odontológicos)</t>
  </si>
  <si>
    <t>Otros  Egresos y Gastos (Tubos de cristal, utensilios de cocina)</t>
  </si>
  <si>
    <t>Contribuciones al seguro de salud</t>
  </si>
  <si>
    <t>Contribuciones al seguro de pensiones</t>
  </si>
  <si>
    <t>Contribuciones al seguro de riesgo laboral</t>
  </si>
  <si>
    <t>Fumigación</t>
  </si>
  <si>
    <t>Productos de papel, carton e impresos</t>
  </si>
  <si>
    <t>4to Trimestre</t>
  </si>
  <si>
    <t>TOTA GENERAL</t>
  </si>
  <si>
    <t>Balance inicial</t>
  </si>
  <si>
    <t>1er trimestre</t>
  </si>
  <si>
    <t>Enero</t>
  </si>
  <si>
    <t xml:space="preserve">MAYO </t>
  </si>
  <si>
    <t xml:space="preserve">AGOSTO </t>
  </si>
  <si>
    <t>2018</t>
  </si>
  <si>
    <t xml:space="preserve">SRS:   VIII </t>
  </si>
  <si>
    <t>HOSPITAL INMACULADA CONCEPCION</t>
  </si>
  <si>
    <t>MINIMARKET CHIQUI</t>
  </si>
  <si>
    <t>OGYM</t>
  </si>
  <si>
    <t xml:space="preserve">ORTRO CHEMICAL </t>
  </si>
  <si>
    <t>ROSARIO SANCHEZ FARMACEUTICA, SRL</t>
  </si>
  <si>
    <t>LAMBDA DIAGNOSTICOS</t>
  </si>
  <si>
    <t>UNIQUE REPRESENTACIONES. SRL</t>
  </si>
  <si>
    <t>MEDISOL</t>
  </si>
  <si>
    <t>AGUA FRISA</t>
  </si>
  <si>
    <t>CASA ELBA</t>
  </si>
  <si>
    <t>GUIVAL MEDICINAL SRL</t>
  </si>
  <si>
    <t>COMLESA GLP</t>
  </si>
  <si>
    <t>KYANRED SUPPLY</t>
  </si>
  <si>
    <t>PANADERIA SOLO CHEPE</t>
  </si>
  <si>
    <t>MGCH SRL</t>
  </si>
  <si>
    <t>PURIFICACION BOYA</t>
  </si>
  <si>
    <t xml:space="preserve">LABORATORIO DENTAL POLONIA </t>
  </si>
  <si>
    <t>SURTIDORA DAURYN</t>
  </si>
  <si>
    <t>PANIFICADORA NORDESTE</t>
  </si>
  <si>
    <t>PUERTAS Y VENTANAS REINOSO</t>
  </si>
  <si>
    <t>AIR LIQUIDE</t>
  </si>
  <si>
    <t>MEDWHITE, SRL</t>
  </si>
  <si>
    <t>COPEM HOSPICLINIC, SRL</t>
  </si>
  <si>
    <t>PEDRO ERIBERTO MARTES DÍAZ</t>
  </si>
  <si>
    <t>EPX DOMINICANA, SRL</t>
  </si>
  <si>
    <t>MEDIVAR, SRL</t>
  </si>
  <si>
    <t>LEROMED PHARMA, SRL</t>
  </si>
  <si>
    <t>PAT Y MELL, SRL</t>
  </si>
  <si>
    <t>SUPLIDORA ODONTOMEDICA, SRL</t>
  </si>
  <si>
    <t>SAMUEL PIMENTEL FRIAS</t>
  </si>
  <si>
    <t>BIONUCLEAR</t>
  </si>
  <si>
    <t>SUPERMERCADO MAMA LOLA, SRL</t>
  </si>
  <si>
    <t>HEXAPOWER PHARMA SRL</t>
  </si>
  <si>
    <t>FERMEDCA COMERCIAL SRL</t>
  </si>
  <si>
    <t>ADAVAS DEL NORTE, SRL</t>
  </si>
  <si>
    <t>MAX SER COMP</t>
  </si>
  <si>
    <t>ENC. CUENTA POR PAGAR</t>
  </si>
  <si>
    <t>ALMANZAR Y ESTVEZ</t>
  </si>
  <si>
    <t>SUPLIMED</t>
  </si>
  <si>
    <t>LEONIDES ADAMES</t>
  </si>
  <si>
    <t>FEC BIOMEDICAL, SRL</t>
  </si>
  <si>
    <t>ZEN PHARMACEUTICA, SRL</t>
  </si>
  <si>
    <t>PAPELERIA CISIN</t>
  </si>
  <si>
    <t>FARACH, S.A.</t>
  </si>
  <si>
    <t xml:space="preserve">       </t>
  </si>
  <si>
    <t>SEAN DOMINICAN, SRL</t>
  </si>
  <si>
    <t>DOMINICANA PHONE PEROBA</t>
  </si>
  <si>
    <t>FARMACIA MIRIAN INMACULADA</t>
  </si>
  <si>
    <t>TEOFILO SANCHEZ, SRL</t>
  </si>
  <si>
    <t>ADMINISTRADORA</t>
  </si>
  <si>
    <t>DEL MEDICAL, SRL</t>
  </si>
  <si>
    <t>FERRETERIA LA GRANDE</t>
  </si>
  <si>
    <t>AGUA DENNI, SRL</t>
  </si>
  <si>
    <t>ENCARGADA DE CUENTA POR PAGAR:</t>
  </si>
  <si>
    <t>ADMINISTRADORA:</t>
  </si>
  <si>
    <t>DIRECTOR:</t>
  </si>
  <si>
    <t>FARMACIA DRA. CLETO</t>
  </si>
  <si>
    <t>STRONICS, SRL.</t>
  </si>
  <si>
    <t>VIATICOS</t>
  </si>
  <si>
    <t>ALEJANDRA FARMACEUTICA, SRL</t>
  </si>
  <si>
    <t>FERRETERIA CAROLINA, SRL.</t>
  </si>
  <si>
    <t>HOSPICALFA MEDICAL</t>
  </si>
  <si>
    <t>H Y M SUPLAY, SRL</t>
  </si>
  <si>
    <t>GRUPO FARMACEUTICO CAR-M, SRL.</t>
  </si>
  <si>
    <t>FRADENT, SRL</t>
  </si>
  <si>
    <t>ALMACENES ORIENTALES</t>
  </si>
  <si>
    <t>YOJANCER PRINT COLOR SRL.</t>
  </si>
  <si>
    <t>FIGUEROA CABRERA TORUS, SRL.</t>
  </si>
  <si>
    <t>JHONNY VASQUEZ VASQUEZ</t>
  </si>
  <si>
    <t>PROPANO Y DERIVADOS, SA.</t>
  </si>
  <si>
    <t>WW EQUIPOS MEDICOS, SRL.</t>
  </si>
  <si>
    <t>KATIUSCA MAGDALIZA RONDON DIPLAN</t>
  </si>
  <si>
    <t>ROCE DENTAL, SRL</t>
  </si>
  <si>
    <t>CIRCUIMED, SRL.</t>
  </si>
  <si>
    <t>REY SOLUTIONS, EIRL.</t>
  </si>
  <si>
    <t>PUERTAS Y VENTANAS PICHE, SRL.</t>
  </si>
  <si>
    <t>COMPAÑÍA DOMINICANA DE TELEFONOS, SA.</t>
  </si>
  <si>
    <t>WOLFRAN BAUTISTA ACOSTA</t>
  </si>
  <si>
    <t>FARMACIA DE  MI ESPERANZA, SRL</t>
  </si>
  <si>
    <t>RAMISOL, SRL</t>
  </si>
  <si>
    <t>DECAMPS ELECTROMUEBLES, EIRL.</t>
  </si>
  <si>
    <t>GERSY IVAN ESTEVEZ</t>
  </si>
  <si>
    <t>A G B CORPORATION SECURITY &amp; SOLUTIONS,SRL.</t>
  </si>
  <si>
    <t>ALBERT M. BELEN</t>
  </si>
  <si>
    <t>J M DANYEL TECHNOLOGY, SRL.</t>
  </si>
  <si>
    <t>NANCY UREÑA Y O TAPICERIA PICHE</t>
  </si>
  <si>
    <t>REFRIGERACION JOSE REYES, SRL</t>
  </si>
  <si>
    <t>MELVIN ANT. PERALTA</t>
  </si>
  <si>
    <t xml:space="preserve">SINOPHARMA, SRL </t>
  </si>
  <si>
    <t>LIRIANO RIVAS, SRL.</t>
  </si>
  <si>
    <t>IMPRESORA SANCHEZ RAMIREZ</t>
  </si>
  <si>
    <t>TECNICARIBE DOMINICANA, SA.</t>
  </si>
  <si>
    <t>VAL-KAMED</t>
  </si>
  <si>
    <t>LAS MELLIZAS SRL</t>
  </si>
  <si>
    <t>GUILLERMO E. RODRIGUEZ</t>
  </si>
  <si>
    <t>ACQUA ASSOLUTA, SRL.</t>
  </si>
  <si>
    <t>SILVER PHARMA, SRL.</t>
  </si>
  <si>
    <t>IDEMESA, SRL.</t>
  </si>
  <si>
    <t>ALLINONESUPPLY, SRL.</t>
  </si>
  <si>
    <t>CABOD, EIRL.</t>
  </si>
  <si>
    <t>DIVERSIDAD DE ARTICULOS DIVERSIDART, SRL.</t>
  </si>
  <si>
    <t>MEDICONA, SRL.</t>
  </si>
  <si>
    <t>AMMB IMPORTACION,SRL.</t>
  </si>
  <si>
    <t>VENTAS DIVERSAS FARMACEUTICAS, SRL.</t>
  </si>
  <si>
    <t>BIO NOVA, SRL.</t>
  </si>
  <si>
    <t>JEAN CARLOS BASULTO LOPEZ</t>
  </si>
  <si>
    <t>HOSPIFAR, SRL.</t>
  </si>
  <si>
    <t>RL SUPPLY PLUS, SRL.</t>
  </si>
  <si>
    <t>NIFARMED, SRL.</t>
  </si>
  <si>
    <t>COLEGIO DOMINICANO DE ODONTOLOGOS CDO</t>
  </si>
  <si>
    <t>CLINIMED, SRL.</t>
  </si>
  <si>
    <t>DENTAL FLEXIBLE D F, SRL.</t>
  </si>
  <si>
    <t>DISTRIBUIDORA BASULTO, EIRL.</t>
  </si>
  <si>
    <t>QUALIPLIERS EIRL</t>
  </si>
  <si>
    <t>SUMIMEDIC SRL</t>
  </si>
  <si>
    <t>NEW MED SUMINISTROS MEDICOS SRL</t>
  </si>
  <si>
    <t>NABAL SERVICES, EIRL</t>
  </si>
  <si>
    <t>ARGOS FARMACEUTICA, SRL</t>
  </si>
  <si>
    <t>QUIROFANOS L Q SRL</t>
  </si>
  <si>
    <t>PREVENCION DE INCENDIOS SANO EIRL</t>
  </si>
  <si>
    <t>RONAJUS FARMACEUTICA, SRL.</t>
  </si>
  <si>
    <t>MARIA NIEVES ALVAREZ REVILLA</t>
  </si>
  <si>
    <t>OXIJAYA SRL</t>
  </si>
  <si>
    <t>Resumen  comparativo de Deuda por año, 2025</t>
  </si>
  <si>
    <t>CONSTRUCORA AQUAMAR, SRL</t>
  </si>
  <si>
    <t>GERENFAR,SRL</t>
  </si>
  <si>
    <t>ANGEL FRAYMI MENDOZA ROSARIO</t>
  </si>
  <si>
    <t>CAPELLAN DENTAL, SRL.</t>
  </si>
  <si>
    <t>PRODUCTO MEDICINALES, SRL. (PROMEDCA)</t>
  </si>
  <si>
    <t>ESTACION HERMANOS CONTRERAS, SRL.</t>
  </si>
  <si>
    <t>MORFE INTERION DECORACIONES DIVERSAS, SRL.</t>
  </si>
  <si>
    <t>anest, srl.</t>
  </si>
  <si>
    <t>MIGUEL ANTONIO FELIX</t>
  </si>
  <si>
    <t xml:space="preserve">CONTRATISTA FABIAN CRUZ  Y ASOCIADOS </t>
  </si>
  <si>
    <t>PHARMASEM SRL</t>
  </si>
  <si>
    <t xml:space="preserve">LISSANDER PAULINO ALMANZAR </t>
  </si>
  <si>
    <t xml:space="preserve"> DEUDA POR SUPLIDOR PERÍODO 2017-2025</t>
  </si>
  <si>
    <t xml:space="preserve"> DEUDA POR OBJETO DEL GASTO PERÍODO 2017-2025</t>
  </si>
  <si>
    <t>GRUPO XERON MEDIC, SRL</t>
  </si>
  <si>
    <t>DAYBE DENTAL STORE &amp; CLINIC, SRL</t>
  </si>
  <si>
    <t>RADLAFE GROUP SRL</t>
  </si>
  <si>
    <t>BAUCOMER, SRL</t>
  </si>
  <si>
    <t>INGRESOS FACTURACION VENTA DE SERVICIOS ARS, AÑO 2025</t>
  </si>
  <si>
    <t>AÑO, 2025</t>
  </si>
  <si>
    <t xml:space="preserve"> Ingresos y Gastos Especificos Trimestre Enero-Diciembre 2025</t>
  </si>
  <si>
    <t>TIROSH, SRL</t>
  </si>
  <si>
    <t>LABORATORIO DENTAL CONCEPCION</t>
  </si>
  <si>
    <t>PEREZ BARROSO</t>
  </si>
  <si>
    <t xml:space="preserve">  </t>
  </si>
  <si>
    <t>INSTITUTO NACIONAL DE AGUAS POTABLES Y ALCANTARILLADO (INAPA)</t>
  </si>
  <si>
    <t>MARIA YOBON HOSTAL</t>
  </si>
  <si>
    <t>ROPHARMA,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</si>
</sst>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&quot;RD$&quot;#,##0.00_);[Red]\(&quot;RD$&quot;#,##0.00\)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#,##0.00;[Red]#,##0.00"/>
    <numFmt numFmtId="168" formatCode="_-* #,##0.00\ _€_-;\-* #,##0.00\ _€_-;_-* &quot;-&quot;??\ _€_-;_-@_-"/>
    <numFmt numFmtId="169" formatCode="_-* #,##0.00\ _P_t_s_-;\-* #,##0.00\ _P_t_s_-;_-* &quot;-&quot;??\ _P_t_s_-;_-@_-"/>
    <numFmt numFmtId="170" formatCode="_([$€-2]* #,##0.00_);_([$€-2]* \(#,##0.00\);_([$€-2]* &quot;-&quot;??_)"/>
    <numFmt numFmtId="171" formatCode="&quot;RD$&quot;#,##0.00"/>
    <numFmt numFmtId="172" formatCode="_-[$RD$-1C0A]* #,##0.00_ ;_-[$RD$-1C0A]* \-#,##0.00\ ;_-[$RD$-1C0A]* &quot;-&quot;??_ ;_-@_ "/>
    <numFmt numFmtId="173" formatCode="#,##0.0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4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4"/>
      <name val="Calibri Light"/>
      <family val="1"/>
      <scheme val="major"/>
    </font>
    <font>
      <sz val="14"/>
      <name val="Calibri Light"/>
      <family val="1"/>
      <scheme val="major"/>
    </font>
    <font>
      <b/>
      <sz val="28"/>
      <name val="Calibri Light"/>
      <family val="1"/>
      <scheme val="major"/>
    </font>
    <font>
      <sz val="20"/>
      <name val="Calibri Light"/>
      <family val="1"/>
      <scheme val="major"/>
    </font>
    <font>
      <b/>
      <sz val="14"/>
      <name val="Calibri Light"/>
      <family val="2"/>
      <scheme val="major"/>
    </font>
    <font>
      <b/>
      <sz val="14"/>
      <color rgb="FFFF0000"/>
      <name val="Calibri Light"/>
      <family val="1"/>
      <scheme val="major"/>
    </font>
    <font>
      <b/>
      <u/>
      <sz val="14"/>
      <color rgb="FFFF0000"/>
      <name val="Calibri Light"/>
      <family val="1"/>
      <scheme val="major"/>
    </font>
    <font>
      <sz val="14"/>
      <color rgb="FFFF0000"/>
      <name val="Calibri Light"/>
      <family val="1"/>
      <scheme val="major"/>
    </font>
    <font>
      <sz val="14"/>
      <color rgb="FF000000"/>
      <name val="Calibri Light"/>
      <family val="1"/>
      <scheme val="major"/>
    </font>
    <font>
      <b/>
      <sz val="14"/>
      <color rgb="FF000000"/>
      <name val="Calibri Light"/>
      <family val="1"/>
      <scheme val="major"/>
    </font>
    <font>
      <sz val="14"/>
      <color theme="3" tint="-0.499984740745262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20"/>
      <color rgb="FFFF0000"/>
      <name val="Calibri"/>
      <family val="2"/>
      <scheme val="minor"/>
    </font>
    <font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u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4"/>
      <color indexed="81"/>
      <name val="Tahoma"/>
      <family val="2"/>
    </font>
    <font>
      <b/>
      <sz val="18"/>
      <name val="Calibri Light"/>
      <family val="1"/>
      <scheme val="major"/>
    </font>
    <font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name val="Calibri Light"/>
      <family val="1"/>
      <scheme val="major"/>
    </font>
    <font>
      <sz val="12"/>
      <name val="Cambria"/>
      <family val="1"/>
    </font>
    <font>
      <sz val="12"/>
      <color indexed="8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4"/>
      <name val="Calibri Light"/>
      <family val="2"/>
      <scheme val="major"/>
    </font>
    <font>
      <sz val="11"/>
      <color theme="1"/>
      <name val="Calibri Light"/>
      <family val="1"/>
      <scheme val="major"/>
    </font>
    <font>
      <b/>
      <sz val="14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Verdana"/>
      <family val="2"/>
    </font>
    <font>
      <b/>
      <sz val="10"/>
      <color theme="0"/>
      <name val="Times New Roman"/>
      <family val="1"/>
    </font>
    <font>
      <sz val="12"/>
      <color theme="1"/>
      <name val="Calibri"/>
      <family val="2"/>
    </font>
    <font>
      <b/>
      <u val="singleAccounting"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name val="Calibri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BFF3"/>
        <bgColor indexed="64"/>
      </patternFill>
    </fill>
    <fill>
      <patternFill patternType="solid">
        <fgColor rgb="FFB6EBFC"/>
        <bgColor indexed="64"/>
      </patternFill>
    </fill>
    <fill>
      <patternFill patternType="solid">
        <fgColor rgb="FF8C8E76"/>
        <bgColor indexed="64"/>
      </patternFill>
    </fill>
    <fill>
      <patternFill patternType="solid">
        <fgColor rgb="FFB4FE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3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7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00">
    <xf numFmtId="0" fontId="0" fillId="0" borderId="0" xfId="0"/>
    <xf numFmtId="0" fontId="18" fillId="0" borderId="0" xfId="0" applyFont="1"/>
    <xf numFmtId="0" fontId="22" fillId="0" borderId="0" xfId="0" applyFont="1"/>
    <xf numFmtId="0" fontId="28" fillId="0" borderId="0" xfId="0" applyFont="1"/>
    <xf numFmtId="0" fontId="30" fillId="0" borderId="0" xfId="3" applyFont="1"/>
    <xf numFmtId="0" fontId="2" fillId="0" borderId="0" xfId="3"/>
    <xf numFmtId="0" fontId="30" fillId="0" borderId="20" xfId="3" applyFont="1" applyBorder="1"/>
    <xf numFmtId="0" fontId="30" fillId="0" borderId="21" xfId="3" applyFont="1" applyBorder="1" applyAlignment="1">
      <alignment horizontal="left" vertical="center"/>
    </xf>
    <xf numFmtId="0" fontId="30" fillId="0" borderId="10" xfId="3" applyFont="1" applyBorder="1"/>
    <xf numFmtId="0" fontId="30" fillId="0" borderId="8" xfId="3" applyFont="1" applyBorder="1" applyAlignment="1">
      <alignment horizontal="left" vertical="center"/>
    </xf>
    <xf numFmtId="0" fontId="30" fillId="0" borderId="6" xfId="3" applyFont="1" applyBorder="1"/>
    <xf numFmtId="0" fontId="30" fillId="0" borderId="7" xfId="3" applyFont="1" applyBorder="1" applyAlignment="1">
      <alignment horizontal="left" vertical="center"/>
    </xf>
    <xf numFmtId="0" fontId="30" fillId="0" borderId="2" xfId="3" applyFont="1" applyBorder="1"/>
    <xf numFmtId="0" fontId="30" fillId="0" borderId="3" xfId="3" applyFont="1" applyBorder="1" applyAlignment="1">
      <alignment horizontal="left" vertical="center"/>
    </xf>
    <xf numFmtId="0" fontId="30" fillId="0" borderId="9" xfId="3" applyFont="1" applyBorder="1"/>
    <xf numFmtId="17" fontId="30" fillId="0" borderId="0" xfId="3" applyNumberFormat="1" applyFont="1" applyAlignment="1">
      <alignment horizontal="left"/>
    </xf>
    <xf numFmtId="166" fontId="30" fillId="0" borderId="0" xfId="14" applyFont="1" applyFill="1" applyBorder="1" applyAlignment="1"/>
    <xf numFmtId="0" fontId="29" fillId="0" borderId="0" xfId="3" applyFont="1" applyAlignment="1">
      <alignment horizontal="left"/>
    </xf>
    <xf numFmtId="166" fontId="29" fillId="0" borderId="0" xfId="3" applyNumberFormat="1" applyFont="1"/>
    <xf numFmtId="0" fontId="29" fillId="0" borderId="0" xfId="3" applyFont="1" applyAlignment="1">
      <alignment horizontal="left" vertical="center"/>
    </xf>
    <xf numFmtId="0" fontId="29" fillId="0" borderId="0" xfId="3" applyFont="1" applyAlignment="1">
      <alignment horizontal="center" vertical="center"/>
    </xf>
    <xf numFmtId="4" fontId="30" fillId="0" borderId="0" xfId="3" applyNumberFormat="1" applyFont="1"/>
    <xf numFmtId="166" fontId="30" fillId="0" borderId="0" xfId="3" applyNumberFormat="1" applyFont="1"/>
    <xf numFmtId="44" fontId="30" fillId="0" borderId="0" xfId="3" applyNumberFormat="1" applyFont="1" applyAlignment="1">
      <alignment horizontal="center"/>
    </xf>
    <xf numFmtId="44" fontId="30" fillId="0" borderId="0" xfId="3" applyNumberFormat="1" applyFont="1"/>
    <xf numFmtId="0" fontId="30" fillId="0" borderId="0" xfId="3" applyFont="1" applyAlignment="1">
      <alignment horizontal="left"/>
    </xf>
    <xf numFmtId="0" fontId="30" fillId="0" borderId="0" xfId="3" applyFont="1" applyAlignment="1">
      <alignment horizontal="center"/>
    </xf>
    <xf numFmtId="0" fontId="34" fillId="0" borderId="0" xfId="3" applyFont="1" applyAlignment="1">
      <alignment horizontal="left"/>
    </xf>
    <xf numFmtId="166" fontId="35" fillId="0" borderId="0" xfId="3" applyNumberFormat="1" applyFont="1"/>
    <xf numFmtId="166" fontId="34" fillId="0" borderId="0" xfId="3" applyNumberFormat="1" applyFont="1"/>
    <xf numFmtId="166" fontId="34" fillId="0" borderId="0" xfId="14" applyFont="1" applyFill="1" applyBorder="1" applyAlignment="1"/>
    <xf numFmtId="166" fontId="36" fillId="0" borderId="0" xfId="14" applyFont="1" applyFill="1" applyBorder="1" applyAlignment="1"/>
    <xf numFmtId="0" fontId="36" fillId="0" borderId="0" xfId="3" applyFont="1"/>
    <xf numFmtId="0" fontId="27" fillId="0" borderId="0" xfId="3" applyFont="1" applyAlignment="1">
      <alignment horizontal="left"/>
    </xf>
    <xf numFmtId="3" fontId="30" fillId="0" borderId="0" xfId="3" applyNumberFormat="1" applyFont="1"/>
    <xf numFmtId="17" fontId="28" fillId="0" borderId="0" xfId="3" applyNumberFormat="1" applyFont="1" applyAlignment="1">
      <alignment horizontal="left" vertical="center"/>
    </xf>
    <xf numFmtId="4" fontId="30" fillId="0" borderId="0" xfId="3" applyNumberFormat="1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66" fontId="29" fillId="0" borderId="0" xfId="14" applyFont="1" applyFill="1" applyBorder="1" applyAlignment="1"/>
    <xf numFmtId="171" fontId="30" fillId="0" borderId="0" xfId="3" applyNumberFormat="1" applyFont="1"/>
    <xf numFmtId="43" fontId="30" fillId="0" borderId="0" xfId="14" applyNumberFormat="1" applyFont="1" applyFill="1" applyBorder="1" applyAlignment="1"/>
    <xf numFmtId="166" fontId="37" fillId="0" borderId="0" xfId="14" applyFont="1" applyFill="1" applyBorder="1" applyAlignment="1">
      <alignment horizontal="left"/>
    </xf>
    <xf numFmtId="166" fontId="38" fillId="0" borderId="0" xfId="14" applyFont="1" applyFill="1" applyBorder="1" applyAlignment="1">
      <alignment horizontal="left"/>
    </xf>
    <xf numFmtId="17" fontId="28" fillId="0" borderId="0" xfId="3" applyNumberFormat="1" applyFont="1" applyAlignment="1">
      <alignment horizontal="left"/>
    </xf>
    <xf numFmtId="168" fontId="30" fillId="0" borderId="0" xfId="3" applyNumberFormat="1" applyFont="1" applyAlignment="1">
      <alignment horizontal="center"/>
    </xf>
    <xf numFmtId="0" fontId="28" fillId="0" borderId="0" xfId="3" applyFont="1"/>
    <xf numFmtId="164" fontId="30" fillId="0" borderId="0" xfId="3" applyNumberFormat="1" applyFont="1"/>
    <xf numFmtId="165" fontId="30" fillId="0" borderId="0" xfId="3" applyNumberFormat="1" applyFont="1"/>
    <xf numFmtId="43" fontId="36" fillId="0" borderId="0" xfId="14" applyNumberFormat="1" applyFont="1" applyFill="1" applyBorder="1" applyAlignment="1"/>
    <xf numFmtId="43" fontId="36" fillId="0" borderId="0" xfId="3" applyNumberFormat="1" applyFont="1"/>
    <xf numFmtId="43" fontId="30" fillId="0" borderId="0" xfId="3" applyNumberFormat="1" applyFont="1"/>
    <xf numFmtId="165" fontId="30" fillId="0" borderId="0" xfId="14" applyNumberFormat="1" applyFont="1" applyFill="1" applyBorder="1" applyAlignment="1"/>
    <xf numFmtId="17" fontId="30" fillId="0" borderId="0" xfId="3" applyNumberFormat="1" applyFont="1" applyAlignment="1">
      <alignment horizontal="left" vertical="center"/>
    </xf>
    <xf numFmtId="165" fontId="28" fillId="0" borderId="0" xfId="15" applyFont="1" applyFill="1" applyBorder="1" applyAlignment="1">
      <alignment horizontal="center"/>
    </xf>
    <xf numFmtId="171" fontId="28" fillId="0" borderId="0" xfId="3" applyNumberFormat="1" applyFont="1" applyAlignment="1">
      <alignment horizontal="center"/>
    </xf>
    <xf numFmtId="166" fontId="30" fillId="0" borderId="0" xfId="14" applyFont="1" applyFill="1" applyBorder="1" applyAlignment="1">
      <alignment horizontal="center"/>
    </xf>
    <xf numFmtId="166" fontId="30" fillId="0" borderId="0" xfId="14" applyFont="1" applyFill="1" applyBorder="1" applyAlignment="1">
      <alignment vertical="center"/>
    </xf>
    <xf numFmtId="0" fontId="30" fillId="0" borderId="0" xfId="3" applyFont="1" applyAlignment="1">
      <alignment vertical="center"/>
    </xf>
    <xf numFmtId="4" fontId="30" fillId="0" borderId="0" xfId="3" applyNumberFormat="1" applyFont="1" applyAlignment="1">
      <alignment vertical="center"/>
    </xf>
    <xf numFmtId="2" fontId="30" fillId="0" borderId="0" xfId="3" applyNumberFormat="1" applyFont="1"/>
    <xf numFmtId="4" fontId="30" fillId="0" borderId="0" xfId="14" applyNumberFormat="1" applyFont="1" applyFill="1" applyBorder="1" applyAlignment="1"/>
    <xf numFmtId="164" fontId="30" fillId="0" borderId="0" xfId="14" applyNumberFormat="1" applyFont="1" applyFill="1" applyBorder="1" applyAlignment="1"/>
    <xf numFmtId="168" fontId="30" fillId="0" borderId="0" xfId="14" applyNumberFormat="1" applyFont="1" applyFill="1" applyBorder="1" applyAlignment="1">
      <alignment horizontal="right"/>
    </xf>
    <xf numFmtId="172" fontId="30" fillId="0" borderId="0" xfId="3" applyNumberFormat="1" applyFont="1"/>
    <xf numFmtId="17" fontId="39" fillId="0" borderId="0" xfId="3" applyNumberFormat="1" applyFont="1" applyAlignment="1">
      <alignment horizontal="left"/>
    </xf>
    <xf numFmtId="166" fontId="39" fillId="0" borderId="0" xfId="14" applyFont="1" applyFill="1" applyBorder="1" applyAlignment="1"/>
    <xf numFmtId="17" fontId="36" fillId="0" borderId="0" xfId="3" applyNumberFormat="1" applyFont="1" applyAlignment="1">
      <alignment horizontal="left"/>
    </xf>
    <xf numFmtId="166" fontId="36" fillId="0" borderId="0" xfId="3" applyNumberFormat="1" applyFont="1"/>
    <xf numFmtId="0" fontId="28" fillId="0" borderId="0" xfId="0" applyFont="1" applyAlignment="1">
      <alignment horizontal="right" wrapText="1"/>
    </xf>
    <xf numFmtId="0" fontId="30" fillId="0" borderId="3" xfId="0" applyFont="1" applyBorder="1" applyAlignment="1">
      <alignment horizontal="right" wrapText="1"/>
    </xf>
    <xf numFmtId="0" fontId="30" fillId="0" borderId="3" xfId="0" applyFont="1" applyBorder="1" applyAlignment="1">
      <alignment horizontal="left"/>
    </xf>
    <xf numFmtId="0" fontId="28" fillId="0" borderId="3" xfId="0" applyFont="1" applyBorder="1"/>
    <xf numFmtId="0" fontId="27" fillId="4" borderId="3" xfId="0" applyFont="1" applyFill="1" applyBorder="1" applyAlignment="1">
      <alignment horizontal="right" wrapText="1"/>
    </xf>
    <xf numFmtId="0" fontId="27" fillId="4" borderId="3" xfId="0" applyFont="1" applyFill="1" applyBorder="1" applyAlignment="1">
      <alignment horizontal="center"/>
    </xf>
    <xf numFmtId="0" fontId="41" fillId="0" borderId="0" xfId="0" applyFont="1"/>
    <xf numFmtId="168" fontId="40" fillId="9" borderId="3" xfId="9" applyFont="1" applyFill="1" applyBorder="1" applyAlignment="1">
      <alignment horizontal="center" vertical="center" wrapText="1"/>
    </xf>
    <xf numFmtId="168" fontId="40" fillId="8" borderId="3" xfId="9" applyFont="1" applyFill="1" applyBorder="1" applyAlignment="1">
      <alignment horizontal="center" vertical="center" wrapText="1"/>
    </xf>
    <xf numFmtId="168" fontId="40" fillId="10" borderId="3" xfId="9" applyFont="1" applyFill="1" applyBorder="1" applyAlignment="1">
      <alignment horizontal="center" vertical="center" wrapText="1"/>
    </xf>
    <xf numFmtId="168" fontId="40" fillId="11" borderId="3" xfId="9" applyFont="1" applyFill="1" applyBorder="1" applyAlignment="1">
      <alignment horizontal="center" vertical="center" wrapText="1"/>
    </xf>
    <xf numFmtId="168" fontId="40" fillId="13" borderId="3" xfId="9" applyFont="1" applyFill="1" applyBorder="1" applyAlignment="1">
      <alignment horizontal="center" vertical="center" wrapText="1"/>
    </xf>
    <xf numFmtId="168" fontId="40" fillId="14" borderId="3" xfId="9" applyFont="1" applyFill="1" applyBorder="1" applyAlignment="1">
      <alignment horizontal="center" vertical="center" wrapText="1"/>
    </xf>
    <xf numFmtId="168" fontId="40" fillId="4" borderId="3" xfId="9" applyFont="1" applyFill="1" applyBorder="1" applyAlignment="1">
      <alignment horizontal="center" vertical="center" wrapText="1"/>
    </xf>
    <xf numFmtId="168" fontId="40" fillId="15" borderId="3" xfId="9" applyFont="1" applyFill="1" applyBorder="1" applyAlignment="1">
      <alignment horizontal="center" vertical="center" wrapText="1"/>
    </xf>
    <xf numFmtId="168" fontId="40" fillId="16" borderId="3" xfId="9" applyFont="1" applyFill="1" applyBorder="1" applyAlignment="1">
      <alignment horizontal="center" vertical="center" wrapText="1"/>
    </xf>
    <xf numFmtId="168" fontId="40" fillId="17" borderId="3" xfId="9" applyFont="1" applyFill="1" applyBorder="1" applyAlignment="1">
      <alignment horizontal="center" vertical="center" wrapText="1"/>
    </xf>
    <xf numFmtId="168" fontId="40" fillId="18" borderId="3" xfId="9" applyFont="1" applyFill="1" applyBorder="1" applyAlignment="1">
      <alignment horizontal="center" vertical="center" wrapText="1"/>
    </xf>
    <xf numFmtId="168" fontId="40" fillId="12" borderId="3" xfId="9" applyFont="1" applyFill="1" applyBorder="1" applyAlignment="1">
      <alignment horizontal="center" vertical="center" wrapText="1"/>
    </xf>
    <xf numFmtId="0" fontId="40" fillId="9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applyFont="1"/>
    <xf numFmtId="0" fontId="30" fillId="0" borderId="0" xfId="0" applyFont="1"/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43" fillId="0" borderId="0" xfId="5" applyFont="1"/>
    <xf numFmtId="0" fontId="43" fillId="0" borderId="0" xfId="5" applyFont="1" applyAlignment="1">
      <alignment horizontal="center"/>
    </xf>
    <xf numFmtId="43" fontId="46" fillId="2" borderId="7" xfId="7" applyFont="1" applyFill="1" applyBorder="1" applyAlignment="1"/>
    <xf numFmtId="0" fontId="44" fillId="5" borderId="1" xfId="6" applyFont="1" applyFill="1" applyBorder="1" applyAlignment="1">
      <alignment horizontal="center" vertical="center" wrapText="1"/>
    </xf>
    <xf numFmtId="0" fontId="45" fillId="5" borderId="1" xfId="6" applyFont="1" applyFill="1" applyBorder="1" applyAlignment="1">
      <alignment horizontal="center" vertical="center" wrapText="1"/>
    </xf>
    <xf numFmtId="0" fontId="45" fillId="5" borderId="1" xfId="6" applyFont="1" applyFill="1" applyBorder="1" applyAlignment="1">
      <alignment horizontal="center" wrapText="1"/>
    </xf>
    <xf numFmtId="0" fontId="17" fillId="12" borderId="0" xfId="0" applyFont="1" applyFill="1" applyAlignment="1">
      <alignment horizontal="justify" vertical="center"/>
    </xf>
    <xf numFmtId="0" fontId="17" fillId="9" borderId="0" xfId="0" applyFont="1" applyFill="1" applyAlignment="1">
      <alignment horizontal="justify" vertical="center"/>
    </xf>
    <xf numFmtId="0" fontId="17" fillId="12" borderId="0" xfId="0" applyFont="1" applyFill="1" applyAlignment="1">
      <alignment horizontal="center" vertical="center"/>
    </xf>
    <xf numFmtId="0" fontId="47" fillId="0" borderId="0" xfId="0" applyFont="1"/>
    <xf numFmtId="0" fontId="50" fillId="0" borderId="0" xfId="3" applyFont="1"/>
    <xf numFmtId="0" fontId="51" fillId="0" borderId="0" xfId="0" applyFont="1"/>
    <xf numFmtId="0" fontId="55" fillId="0" borderId="0" xfId="0" applyFont="1"/>
    <xf numFmtId="167" fontId="30" fillId="0" borderId="7" xfId="3" applyNumberFormat="1" applyFont="1" applyBorder="1" applyAlignment="1">
      <alignment horizontal="right" vertical="center"/>
    </xf>
    <xf numFmtId="167" fontId="30" fillId="0" borderId="7" xfId="14" applyNumberFormat="1" applyFont="1" applyFill="1" applyBorder="1" applyAlignment="1">
      <alignment horizontal="right"/>
    </xf>
    <xf numFmtId="167" fontId="30" fillId="0" borderId="13" xfId="3" applyNumberFormat="1" applyFont="1" applyBorder="1" applyAlignment="1">
      <alignment horizontal="right" vertical="center"/>
    </xf>
    <xf numFmtId="167" fontId="30" fillId="0" borderId="3" xfId="3" applyNumberFormat="1" applyFont="1" applyBorder="1" applyAlignment="1">
      <alignment horizontal="right" vertical="center"/>
    </xf>
    <xf numFmtId="167" fontId="30" fillId="0" borderId="3" xfId="14" applyNumberFormat="1" applyFont="1" applyFill="1" applyBorder="1" applyAlignment="1">
      <alignment horizontal="right"/>
    </xf>
    <xf numFmtId="167" fontId="30" fillId="0" borderId="3" xfId="3" applyNumberFormat="1" applyFont="1" applyBorder="1" applyAlignment="1">
      <alignment horizontal="right"/>
    </xf>
    <xf numFmtId="167" fontId="29" fillId="0" borderId="3" xfId="14" applyNumberFormat="1" applyFont="1" applyFill="1" applyBorder="1" applyAlignment="1">
      <alignment horizontal="right"/>
    </xf>
    <xf numFmtId="167" fontId="29" fillId="0" borderId="3" xfId="3" applyNumberFormat="1" applyFont="1" applyBorder="1" applyAlignment="1">
      <alignment horizontal="right"/>
    </xf>
    <xf numFmtId="167" fontId="29" fillId="0" borderId="3" xfId="3" applyNumberFormat="1" applyFont="1" applyBorder="1" applyAlignment="1">
      <alignment horizontal="right" vertical="center"/>
    </xf>
    <xf numFmtId="167" fontId="30" fillId="0" borderId="8" xfId="3" applyNumberFormat="1" applyFont="1" applyBorder="1" applyAlignment="1">
      <alignment horizontal="right" vertical="center"/>
    </xf>
    <xf numFmtId="167" fontId="30" fillId="0" borderId="8" xfId="14" applyNumberFormat="1" applyFont="1" applyFill="1" applyBorder="1" applyAlignment="1">
      <alignment horizontal="right"/>
    </xf>
    <xf numFmtId="167" fontId="30" fillId="0" borderId="8" xfId="3" applyNumberFormat="1" applyFont="1" applyBorder="1" applyAlignment="1">
      <alignment horizontal="right"/>
    </xf>
    <xf numFmtId="167" fontId="29" fillId="6" borderId="1" xfId="3" applyNumberFormat="1" applyFont="1" applyFill="1" applyBorder="1" applyAlignment="1">
      <alignment horizontal="right"/>
    </xf>
    <xf numFmtId="167" fontId="30" fillId="0" borderId="21" xfId="14" applyNumberFormat="1" applyFont="1" applyFill="1" applyBorder="1" applyAlignment="1">
      <alignment horizontal="right"/>
    </xf>
    <xf numFmtId="17" fontId="56" fillId="20" borderId="1" xfId="3" applyNumberFormat="1" applyFont="1" applyFill="1" applyBorder="1" applyAlignment="1">
      <alignment horizontal="left" wrapText="1"/>
    </xf>
    <xf numFmtId="166" fontId="60" fillId="0" borderId="0" xfId="14" applyFont="1" applyFill="1" applyBorder="1" applyAlignment="1"/>
    <xf numFmtId="167" fontId="29" fillId="8" borderId="15" xfId="3" applyNumberFormat="1" applyFont="1" applyFill="1" applyBorder="1" applyAlignment="1">
      <alignment horizontal="center" vertical="center"/>
    </xf>
    <xf numFmtId="167" fontId="56" fillId="0" borderId="0" xfId="14" applyNumberFormat="1" applyFont="1" applyFill="1" applyBorder="1" applyAlignment="1">
      <alignment vertical="center"/>
    </xf>
    <xf numFmtId="167" fontId="56" fillId="0" borderId="0" xfId="3" applyNumberFormat="1" applyFont="1" applyAlignment="1">
      <alignment vertical="center"/>
    </xf>
    <xf numFmtId="17" fontId="60" fillId="0" borderId="0" xfId="3" applyNumberFormat="1" applyFont="1" applyAlignment="1">
      <alignment horizontal="left" wrapText="1"/>
    </xf>
    <xf numFmtId="17" fontId="63" fillId="0" borderId="0" xfId="3" applyNumberFormat="1" applyFont="1" applyAlignment="1">
      <alignment horizontal="left"/>
    </xf>
    <xf numFmtId="166" fontId="63" fillId="0" borderId="0" xfId="14" applyFont="1" applyFill="1" applyBorder="1" applyAlignment="1"/>
    <xf numFmtId="0" fontId="63" fillId="0" borderId="0" xfId="3" applyFont="1"/>
    <xf numFmtId="0" fontId="64" fillId="0" borderId="0" xfId="0" applyFont="1" applyAlignment="1">
      <alignment horizontal="center"/>
    </xf>
    <xf numFmtId="167" fontId="65" fillId="0" borderId="3" xfId="0" applyNumberFormat="1" applyFont="1" applyBorder="1" applyAlignment="1">
      <alignment horizontal="right"/>
    </xf>
    <xf numFmtId="167" fontId="66" fillId="0" borderId="3" xfId="0" applyNumberFormat="1" applyFont="1" applyBorder="1" applyAlignment="1">
      <alignment horizontal="right"/>
    </xf>
    <xf numFmtId="167" fontId="28" fillId="0" borderId="0" xfId="0" applyNumberFormat="1" applyFont="1"/>
    <xf numFmtId="167" fontId="68" fillId="0" borderId="0" xfId="0" applyNumberFormat="1" applyFont="1"/>
    <xf numFmtId="167" fontId="66" fillId="0" borderId="0" xfId="0" applyNumberFormat="1" applyFont="1"/>
    <xf numFmtId="4" fontId="55" fillId="0" borderId="0" xfId="0" applyNumberFormat="1" applyFont="1"/>
    <xf numFmtId="167" fontId="65" fillId="0" borderId="3" xfId="0" applyNumberFormat="1" applyFont="1" applyBorder="1" applyAlignment="1">
      <alignment horizontal="right" vertical="center"/>
    </xf>
    <xf numFmtId="166" fontId="33" fillId="0" borderId="0" xfId="14" applyFont="1" applyFill="1" applyBorder="1" applyAlignment="1"/>
    <xf numFmtId="0" fontId="33" fillId="0" borderId="0" xfId="3" applyFont="1"/>
    <xf numFmtId="167" fontId="62" fillId="0" borderId="7" xfId="3" applyNumberFormat="1" applyFont="1" applyBorder="1" applyAlignment="1">
      <alignment horizontal="right" wrapText="1"/>
    </xf>
    <xf numFmtId="167" fontId="69" fillId="0" borderId="3" xfId="3" applyNumberFormat="1" applyFont="1" applyBorder="1" applyAlignment="1">
      <alignment horizontal="right" vertical="center"/>
    </xf>
    <xf numFmtId="167" fontId="70" fillId="0" borderId="0" xfId="0" applyNumberFormat="1" applyFont="1"/>
    <xf numFmtId="167" fontId="69" fillId="0" borderId="3" xfId="14" applyNumberFormat="1" applyFont="1" applyFill="1" applyBorder="1" applyAlignment="1">
      <alignment horizontal="right"/>
    </xf>
    <xf numFmtId="167" fontId="67" fillId="20" borderId="3" xfId="0" applyNumberFormat="1" applyFont="1" applyFill="1" applyBorder="1" applyAlignment="1">
      <alignment horizontal="right"/>
    </xf>
    <xf numFmtId="167" fontId="67" fillId="21" borderId="3" xfId="0" applyNumberFormat="1" applyFont="1" applyFill="1" applyBorder="1" applyAlignment="1">
      <alignment horizontal="right"/>
    </xf>
    <xf numFmtId="0" fontId="68" fillId="0" borderId="0" xfId="0" applyFont="1"/>
    <xf numFmtId="167" fontId="67" fillId="16" borderId="3" xfId="0" applyNumberFormat="1" applyFont="1" applyFill="1" applyBorder="1" applyAlignment="1">
      <alignment horizontal="right"/>
    </xf>
    <xf numFmtId="167" fontId="67" fillId="22" borderId="3" xfId="0" applyNumberFormat="1" applyFont="1" applyFill="1" applyBorder="1" applyAlignment="1">
      <alignment horizontal="right"/>
    </xf>
    <xf numFmtId="167" fontId="71" fillId="0" borderId="0" xfId="0" applyNumberFormat="1" applyFont="1"/>
    <xf numFmtId="0" fontId="71" fillId="0" borderId="0" xfId="0" applyFont="1"/>
    <xf numFmtId="49" fontId="58" fillId="0" borderId="3" xfId="0" applyNumberFormat="1" applyFont="1" applyBorder="1"/>
    <xf numFmtId="49" fontId="59" fillId="0" borderId="3" xfId="0" applyNumberFormat="1" applyFont="1" applyBorder="1"/>
    <xf numFmtId="49" fontId="58" fillId="0" borderId="4" xfId="0" applyNumberFormat="1" applyFont="1" applyBorder="1"/>
    <xf numFmtId="2" fontId="55" fillId="0" borderId="0" xfId="0" applyNumberFormat="1" applyFont="1"/>
    <xf numFmtId="49" fontId="27" fillId="19" borderId="0" xfId="0" applyNumberFormat="1" applyFont="1" applyFill="1" applyAlignment="1">
      <alignment horizontal="left" vertical="center"/>
    </xf>
    <xf numFmtId="167" fontId="65" fillId="2" borderId="3" xfId="0" applyNumberFormat="1" applyFont="1" applyFill="1" applyBorder="1" applyAlignment="1">
      <alignment horizontal="right"/>
    </xf>
    <xf numFmtId="167" fontId="66" fillId="2" borderId="3" xfId="0" applyNumberFormat="1" applyFont="1" applyFill="1" applyBorder="1" applyAlignment="1">
      <alignment horizontal="right"/>
    </xf>
    <xf numFmtId="0" fontId="18" fillId="2" borderId="0" xfId="0" applyFont="1" applyFill="1"/>
    <xf numFmtId="166" fontId="55" fillId="0" borderId="0" xfId="0" applyNumberFormat="1" applyFont="1"/>
    <xf numFmtId="49" fontId="27" fillId="0" borderId="3" xfId="0" applyNumberFormat="1" applyFont="1" applyBorder="1" applyAlignment="1">
      <alignment horizontal="center"/>
    </xf>
    <xf numFmtId="168" fontId="40" fillId="8" borderId="4" xfId="9" applyFont="1" applyFill="1" applyBorder="1" applyAlignment="1">
      <alignment horizontal="center" vertical="center" wrapText="1"/>
    </xf>
    <xf numFmtId="167" fontId="65" fillId="0" borderId="4" xfId="0" applyNumberFormat="1" applyFont="1" applyBorder="1" applyAlignment="1">
      <alignment horizontal="right"/>
    </xf>
    <xf numFmtId="167" fontId="66" fillId="0" borderId="4" xfId="0" applyNumberFormat="1" applyFont="1" applyBorder="1" applyAlignment="1">
      <alignment horizontal="right"/>
    </xf>
    <xf numFmtId="167" fontId="65" fillId="0" borderId="4" xfId="0" applyNumberFormat="1" applyFont="1" applyBorder="1" applyAlignment="1">
      <alignment horizontal="right" vertical="center"/>
    </xf>
    <xf numFmtId="167" fontId="67" fillId="20" borderId="4" xfId="0" applyNumberFormat="1" applyFont="1" applyFill="1" applyBorder="1" applyAlignment="1">
      <alignment horizontal="right"/>
    </xf>
    <xf numFmtId="168" fontId="40" fillId="10" borderId="24" xfId="9" applyFont="1" applyFill="1" applyBorder="1" applyAlignment="1">
      <alignment horizontal="center" vertical="center" wrapText="1"/>
    </xf>
    <xf numFmtId="167" fontId="65" fillId="0" borderId="24" xfId="0" applyNumberFormat="1" applyFont="1" applyBorder="1" applyAlignment="1">
      <alignment horizontal="right"/>
    </xf>
    <xf numFmtId="167" fontId="66" fillId="0" borderId="24" xfId="0" applyNumberFormat="1" applyFont="1" applyBorder="1" applyAlignment="1">
      <alignment horizontal="right"/>
    </xf>
    <xf numFmtId="167" fontId="65" fillId="0" borderId="24" xfId="0" applyNumberFormat="1" applyFont="1" applyBorder="1" applyAlignment="1">
      <alignment horizontal="right" vertical="center"/>
    </xf>
    <xf numFmtId="167" fontId="67" fillId="20" borderId="24" xfId="0" applyNumberFormat="1" applyFont="1" applyFill="1" applyBorder="1" applyAlignment="1">
      <alignment horizontal="right"/>
    </xf>
    <xf numFmtId="0" fontId="58" fillId="0" borderId="0" xfId="0" applyFont="1" applyAlignment="1">
      <alignment horizontal="left" wrapText="1"/>
    </xf>
    <xf numFmtId="0" fontId="58" fillId="0" borderId="0" xfId="0" applyFont="1"/>
    <xf numFmtId="0" fontId="59" fillId="0" borderId="0" xfId="0" applyFont="1"/>
    <xf numFmtId="167" fontId="61" fillId="0" borderId="7" xfId="3" applyNumberFormat="1" applyFont="1" applyBorder="1" applyAlignment="1">
      <alignment horizontal="right" vertical="center"/>
    </xf>
    <xf numFmtId="167" fontId="61" fillId="0" borderId="3" xfId="3" applyNumberFormat="1" applyFont="1" applyBorder="1" applyAlignment="1">
      <alignment horizontal="right" vertical="center"/>
    </xf>
    <xf numFmtId="167" fontId="61" fillId="0" borderId="21" xfId="3" applyNumberFormat="1" applyFont="1" applyBorder="1" applyAlignment="1">
      <alignment horizontal="right" vertical="center"/>
    </xf>
    <xf numFmtId="167" fontId="61" fillId="0" borderId="21" xfId="14" applyNumberFormat="1" applyFont="1" applyFill="1" applyBorder="1" applyAlignment="1">
      <alignment horizontal="right"/>
    </xf>
    <xf numFmtId="167" fontId="61" fillId="0" borderId="18" xfId="3" applyNumberFormat="1" applyFont="1" applyBorder="1" applyAlignment="1">
      <alignment horizontal="right" vertical="center"/>
    </xf>
    <xf numFmtId="0" fontId="18" fillId="0" borderId="0" xfId="0" applyFont="1"/>
    <xf numFmtId="0" fontId="55" fillId="0" borderId="0" xfId="0" applyFont="1"/>
    <xf numFmtId="4" fontId="55" fillId="0" borderId="0" xfId="0" applyNumberFormat="1" applyFont="1"/>
    <xf numFmtId="0" fontId="56" fillId="0" borderId="3" xfId="0" applyFont="1" applyBorder="1" applyAlignment="1">
      <alignment horizontal="left"/>
    </xf>
    <xf numFmtId="0" fontId="56" fillId="0" borderId="3" xfId="0" applyFont="1" applyBorder="1" applyAlignment="1">
      <alignment horizontal="right" wrapText="1"/>
    </xf>
    <xf numFmtId="4" fontId="11" fillId="0" borderId="3" xfId="0" applyNumberFormat="1" applyFont="1" applyBorder="1"/>
    <xf numFmtId="0" fontId="18" fillId="0" borderId="3" xfId="0" applyFont="1" applyBorder="1" applyAlignment="1">
      <alignment horizontal="left"/>
    </xf>
    <xf numFmtId="4" fontId="8" fillId="0" borderId="3" xfId="0" applyNumberFormat="1" applyFont="1" applyBorder="1"/>
    <xf numFmtId="2" fontId="55" fillId="0" borderId="0" xfId="0" applyNumberFormat="1" applyFont="1"/>
    <xf numFmtId="4" fontId="11" fillId="2" borderId="3" xfId="0" applyNumberFormat="1" applyFont="1" applyFill="1" applyBorder="1"/>
    <xf numFmtId="14" fontId="18" fillId="0" borderId="0" xfId="0" applyNumberFormat="1" applyFont="1"/>
    <xf numFmtId="0" fontId="56" fillId="2" borderId="3" xfId="0" applyFont="1" applyFill="1" applyBorder="1" applyAlignment="1">
      <alignment horizontal="right" wrapText="1"/>
    </xf>
    <xf numFmtId="0" fontId="56" fillId="2" borderId="3" xfId="0" applyFont="1" applyFill="1" applyBorder="1" applyAlignment="1">
      <alignment horizontal="left"/>
    </xf>
    <xf numFmtId="4" fontId="18" fillId="2" borderId="3" xfId="0" applyNumberFormat="1" applyFont="1" applyFill="1" applyBorder="1"/>
    <xf numFmtId="4" fontId="55" fillId="0" borderId="3" xfId="0" applyNumberFormat="1" applyFont="1" applyBorder="1"/>
    <xf numFmtId="14" fontId="17" fillId="0" borderId="0" xfId="0" applyNumberFormat="1" applyFont="1"/>
    <xf numFmtId="0" fontId="17" fillId="24" borderId="3" xfId="0" applyFont="1" applyFill="1" applyBorder="1" applyAlignment="1">
      <alignment horizontal="center" wrapText="1"/>
    </xf>
    <xf numFmtId="1" fontId="17" fillId="24" borderId="3" xfId="0" applyNumberFormat="1" applyFont="1" applyFill="1" applyBorder="1" applyAlignment="1">
      <alignment horizontal="center"/>
    </xf>
    <xf numFmtId="0" fontId="17" fillId="24" borderId="3" xfId="0" applyFont="1" applyFill="1" applyBorder="1" applyAlignment="1">
      <alignment horizontal="left"/>
    </xf>
    <xf numFmtId="4" fontId="8" fillId="24" borderId="3" xfId="0" applyNumberFormat="1" applyFont="1" applyFill="1" applyBorder="1"/>
    <xf numFmtId="0" fontId="18" fillId="24" borderId="3" xfId="0" applyFont="1" applyFill="1" applyBorder="1" applyAlignment="1">
      <alignment horizontal="left"/>
    </xf>
    <xf numFmtId="0" fontId="22" fillId="0" borderId="0" xfId="0" applyFont="1"/>
    <xf numFmtId="0" fontId="22" fillId="2" borderId="0" xfId="0" applyFont="1" applyFill="1"/>
    <xf numFmtId="0" fontId="22" fillId="0" borderId="0" xfId="0" applyFont="1" applyAlignment="1">
      <alignment horizontal="center"/>
    </xf>
    <xf numFmtId="4" fontId="52" fillId="0" borderId="0" xfId="0" applyNumberFormat="1" applyFont="1" applyAlignment="1">
      <alignment horizontal="right"/>
    </xf>
    <xf numFmtId="4" fontId="52" fillId="0" borderId="0" xfId="1" applyNumberFormat="1" applyFont="1" applyBorder="1"/>
    <xf numFmtId="0" fontId="53" fillId="0" borderId="0" xfId="0" applyFont="1"/>
    <xf numFmtId="166" fontId="53" fillId="0" borderId="3" xfId="1" applyFont="1" applyFill="1" applyBorder="1"/>
    <xf numFmtId="0" fontId="56" fillId="0" borderId="0" xfId="0" applyFont="1" applyAlignment="1">
      <alignment vertical="center"/>
    </xf>
    <xf numFmtId="166" fontId="22" fillId="0" borderId="3" xfId="1" applyFont="1" applyFill="1" applyBorder="1"/>
    <xf numFmtId="166" fontId="22" fillId="0" borderId="0" xfId="0" applyNumberFormat="1" applyFont="1"/>
    <xf numFmtId="14" fontId="55" fillId="2" borderId="3" xfId="0" applyNumberFormat="1" applyFont="1" applyFill="1" applyBorder="1"/>
    <xf numFmtId="166" fontId="22" fillId="0" borderId="3" xfId="0" applyNumberFormat="1" applyFont="1" applyBorder="1"/>
    <xf numFmtId="0" fontId="52" fillId="2" borderId="0" xfId="0" applyFont="1" applyFill="1" applyAlignment="1">
      <alignment horizontal="center"/>
    </xf>
    <xf numFmtId="14" fontId="17" fillId="2" borderId="0" xfId="0" applyNumberFormat="1" applyFont="1" applyFill="1"/>
    <xf numFmtId="0" fontId="52" fillId="2" borderId="3" xfId="0" applyFont="1" applyFill="1" applyBorder="1" applyAlignment="1">
      <alignment horizontal="center"/>
    </xf>
    <xf numFmtId="166" fontId="22" fillId="2" borderId="3" xfId="1" applyFont="1" applyFill="1" applyBorder="1"/>
    <xf numFmtId="0" fontId="55" fillId="2" borderId="3" xfId="0" applyFont="1" applyFill="1" applyBorder="1"/>
    <xf numFmtId="0" fontId="55" fillId="2" borderId="3" xfId="0" applyFont="1" applyFill="1" applyBorder="1" applyAlignment="1">
      <alignment horizontal="left"/>
    </xf>
    <xf numFmtId="0" fontId="76" fillId="2" borderId="3" xfId="0" applyFont="1" applyFill="1" applyBorder="1"/>
    <xf numFmtId="0" fontId="14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17" fillId="3" borderId="3" xfId="0" applyFont="1" applyFill="1" applyBorder="1"/>
    <xf numFmtId="166" fontId="17" fillId="3" borderId="3" xfId="1" applyFont="1" applyFill="1" applyBorder="1"/>
    <xf numFmtId="0" fontId="52" fillId="3" borderId="3" xfId="0" applyFont="1" applyFill="1" applyBorder="1" applyAlignment="1">
      <alignment horizontal="center"/>
    </xf>
    <xf numFmtId="0" fontId="0" fillId="0" borderId="0" xfId="0"/>
    <xf numFmtId="0" fontId="8" fillId="0" borderId="0" xfId="3" applyFont="1" applyAlignment="1">
      <alignment horizontal="center"/>
    </xf>
    <xf numFmtId="0" fontId="10" fillId="2" borderId="2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left" wrapText="1"/>
    </xf>
    <xf numFmtId="0" fontId="10" fillId="2" borderId="6" xfId="3" applyFont="1" applyFill="1" applyBorder="1" applyAlignment="1">
      <alignment horizontal="center" wrapText="1"/>
    </xf>
    <xf numFmtId="4" fontId="0" fillId="0" borderId="0" xfId="0" applyNumberFormat="1"/>
    <xf numFmtId="166" fontId="13" fillId="2" borderId="3" xfId="1" applyFont="1" applyFill="1" applyBorder="1" applyAlignment="1">
      <alignment horizontal="right" wrapText="1"/>
    </xf>
    <xf numFmtId="39" fontId="12" fillId="2" borderId="3" xfId="3" applyNumberFormat="1" applyFont="1" applyFill="1" applyBorder="1" applyAlignment="1">
      <alignment horizontal="right" wrapText="1"/>
    </xf>
    <xf numFmtId="43" fontId="0" fillId="0" borderId="0" xfId="0" applyNumberFormat="1"/>
    <xf numFmtId="0" fontId="0" fillId="0" borderId="3" xfId="0" applyBorder="1"/>
    <xf numFmtId="166" fontId="12" fillId="2" borderId="3" xfId="1" applyFont="1" applyFill="1" applyBorder="1" applyAlignment="1">
      <alignment wrapText="1"/>
    </xf>
    <xf numFmtId="0" fontId="0" fillId="0" borderId="7" xfId="0" applyBorder="1"/>
    <xf numFmtId="166" fontId="11" fillId="2" borderId="3" xfId="1" applyFont="1" applyFill="1" applyBorder="1" applyAlignment="1">
      <alignment horizontal="left" wrapText="1"/>
    </xf>
    <xf numFmtId="39" fontId="16" fillId="2" borderId="7" xfId="3" applyNumberFormat="1" applyFont="1" applyFill="1" applyBorder="1" applyAlignment="1">
      <alignment horizontal="right" wrapText="1"/>
    </xf>
    <xf numFmtId="14" fontId="8" fillId="0" borderId="0" xfId="3" applyNumberFormat="1" applyFont="1" applyAlignment="1">
      <alignment horizontal="center"/>
    </xf>
    <xf numFmtId="39" fontId="16" fillId="2" borderId="3" xfId="3" applyNumberFormat="1" applyFont="1" applyFill="1" applyBorder="1" applyAlignment="1">
      <alignment horizontal="right" wrapText="1"/>
    </xf>
    <xf numFmtId="0" fontId="9" fillId="23" borderId="1" xfId="3" applyFont="1" applyFill="1" applyBorder="1" applyAlignment="1">
      <alignment horizontal="center" wrapText="1"/>
    </xf>
    <xf numFmtId="0" fontId="75" fillId="23" borderId="1" xfId="3" applyFont="1" applyFill="1" applyBorder="1" applyAlignment="1">
      <alignment horizontal="center" wrapText="1"/>
    </xf>
    <xf numFmtId="49" fontId="9" fillId="23" borderId="1" xfId="3" applyNumberFormat="1" applyFont="1" applyFill="1" applyBorder="1" applyAlignment="1">
      <alignment horizontal="center" wrapText="1"/>
    </xf>
    <xf numFmtId="0" fontId="15" fillId="23" borderId="1" xfId="3" applyFont="1" applyFill="1" applyBorder="1" applyAlignment="1">
      <alignment horizontal="left" wrapText="1"/>
    </xf>
    <xf numFmtId="0" fontId="7" fillId="23" borderId="1" xfId="0" applyFont="1" applyFill="1" applyBorder="1" applyAlignment="1">
      <alignment horizontal="center"/>
    </xf>
    <xf numFmtId="4" fontId="16" fillId="23" borderId="1" xfId="3" applyNumberFormat="1" applyFont="1" applyFill="1" applyBorder="1" applyAlignment="1">
      <alignment horizontal="right" wrapText="1"/>
    </xf>
    <xf numFmtId="9" fontId="16" fillId="23" borderId="11" xfId="2" applyFont="1" applyFill="1" applyBorder="1" applyAlignment="1">
      <alignment horizontal="center" wrapText="1"/>
    </xf>
    <xf numFmtId="0" fontId="72" fillId="23" borderId="3" xfId="0" applyFont="1" applyFill="1" applyBorder="1"/>
    <xf numFmtId="0" fontId="17" fillId="0" borderId="25" xfId="0" applyFont="1" applyBorder="1"/>
    <xf numFmtId="39" fontId="12" fillId="2" borderId="7" xfId="3" applyNumberFormat="1" applyFont="1" applyFill="1" applyBorder="1" applyAlignment="1">
      <alignment horizontal="right" wrapText="1"/>
    </xf>
    <xf numFmtId="0" fontId="79" fillId="2" borderId="3" xfId="0" applyFont="1" applyFill="1" applyBorder="1" applyAlignment="1">
      <alignment horizontal="left"/>
    </xf>
    <xf numFmtId="0" fontId="76" fillId="2" borderId="3" xfId="0" applyFont="1" applyFill="1" applyBorder="1" applyAlignment="1">
      <alignment horizontal="left"/>
    </xf>
    <xf numFmtId="14" fontId="79" fillId="2" borderId="3" xfId="0" applyNumberFormat="1" applyFont="1" applyFill="1" applyBorder="1" applyAlignment="1">
      <alignment horizontal="left"/>
    </xf>
    <xf numFmtId="0" fontId="80" fillId="2" borderId="3" xfId="0" applyFont="1" applyFill="1" applyBorder="1"/>
    <xf numFmtId="0" fontId="76" fillId="2" borderId="24" xfId="0" applyFont="1" applyFill="1" applyBorder="1"/>
    <xf numFmtId="0" fontId="55" fillId="2" borderId="24" xfId="0" applyFont="1" applyFill="1" applyBorder="1"/>
    <xf numFmtId="4" fontId="46" fillId="0" borderId="3" xfId="17" applyNumberFormat="1" applyFont="1" applyBorder="1" applyAlignment="1">
      <alignment horizontal="right"/>
    </xf>
    <xf numFmtId="4" fontId="46" fillId="2" borderId="3" xfId="17" applyNumberFormat="1" applyFont="1" applyFill="1" applyBorder="1" applyAlignment="1">
      <alignment horizontal="right"/>
    </xf>
    <xf numFmtId="4" fontId="46" fillId="2" borderId="7" xfId="17" applyNumberFormat="1" applyFont="1" applyFill="1" applyBorder="1" applyAlignment="1">
      <alignment horizontal="right"/>
    </xf>
    <xf numFmtId="166" fontId="46" fillId="0" borderId="3" xfId="1" applyFont="1" applyBorder="1" applyAlignment="1">
      <alignment horizontal="right"/>
    </xf>
    <xf numFmtId="166" fontId="46" fillId="2" borderId="3" xfId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7" fillId="24" borderId="3" xfId="0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17" fillId="24" borderId="3" xfId="0" applyFont="1" applyFill="1" applyBorder="1" applyAlignment="1">
      <alignment horizontal="center"/>
    </xf>
    <xf numFmtId="173" fontId="52" fillId="0" borderId="0" xfId="0" applyNumberFormat="1" applyFont="1" applyAlignment="1">
      <alignment horizontal="right"/>
    </xf>
    <xf numFmtId="4" fontId="16" fillId="23" borderId="11" xfId="3" applyNumberFormat="1" applyFont="1" applyFill="1" applyBorder="1" applyAlignment="1">
      <alignment horizontal="right" wrapText="1"/>
    </xf>
    <xf numFmtId="0" fontId="81" fillId="2" borderId="3" xfId="0" applyFont="1" applyFill="1" applyBorder="1"/>
    <xf numFmtId="0" fontId="14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29" fillId="7" borderId="14" xfId="3" applyFont="1" applyFill="1" applyBorder="1" applyAlignment="1">
      <alignment horizontal="center" vertical="center"/>
    </xf>
    <xf numFmtId="0" fontId="29" fillId="7" borderId="19" xfId="3" applyFont="1" applyFill="1" applyBorder="1" applyAlignment="1">
      <alignment horizontal="center" vertical="center"/>
    </xf>
    <xf numFmtId="0" fontId="29" fillId="7" borderId="11" xfId="3" applyFont="1" applyFill="1" applyBorder="1" applyAlignment="1">
      <alignment horizontal="center" vertical="center"/>
    </xf>
    <xf numFmtId="0" fontId="29" fillId="7" borderId="12" xfId="3" applyFont="1" applyFill="1" applyBorder="1" applyAlignment="1">
      <alignment horizontal="center" vertical="center"/>
    </xf>
    <xf numFmtId="0" fontId="50" fillId="0" borderId="0" xfId="3" applyFont="1" applyAlignment="1">
      <alignment horizontal="left"/>
    </xf>
    <xf numFmtId="0" fontId="43" fillId="0" borderId="0" xfId="17" applyFont="1"/>
    <xf numFmtId="17" fontId="45" fillId="0" borderId="0" xfId="17" applyNumberFormat="1" applyFont="1"/>
    <xf numFmtId="0" fontId="43" fillId="0" borderId="0" xfId="17" applyFont="1" applyAlignment="1">
      <alignment horizontal="center"/>
    </xf>
    <xf numFmtId="0" fontId="45" fillId="0" borderId="6" xfId="17" applyFont="1" applyBorder="1" applyAlignment="1">
      <alignment horizontal="center"/>
    </xf>
    <xf numFmtId="0" fontId="46" fillId="2" borderId="7" xfId="17" applyFont="1" applyFill="1" applyBorder="1" applyAlignment="1">
      <alignment horizontal="left"/>
    </xf>
    <xf numFmtId="0" fontId="46" fillId="2" borderId="7" xfId="17" applyFont="1" applyFill="1" applyBorder="1" applyAlignment="1">
      <alignment horizontal="center" vertical="center"/>
    </xf>
    <xf numFmtId="1" fontId="46" fillId="2" borderId="7" xfId="17" applyNumberFormat="1" applyFont="1" applyFill="1" applyBorder="1" applyAlignment="1">
      <alignment horizontal="center"/>
    </xf>
    <xf numFmtId="4" fontId="46" fillId="2" borderId="13" xfId="17" applyNumberFormat="1" applyFont="1" applyFill="1" applyBorder="1" applyAlignment="1">
      <alignment horizontal="right"/>
    </xf>
    <xf numFmtId="0" fontId="45" fillId="0" borderId="2" xfId="17" applyFont="1" applyBorder="1" applyAlignment="1">
      <alignment horizontal="center"/>
    </xf>
    <xf numFmtId="4" fontId="46" fillId="0" borderId="5" xfId="17" applyNumberFormat="1" applyFont="1" applyBorder="1" applyAlignment="1">
      <alignment horizontal="right"/>
    </xf>
    <xf numFmtId="166" fontId="43" fillId="0" borderId="0" xfId="17" applyNumberFormat="1" applyFont="1"/>
    <xf numFmtId="0" fontId="46" fillId="0" borderId="3" xfId="17" applyFont="1" applyBorder="1" applyAlignment="1">
      <alignment horizontal="center" vertical="center"/>
    </xf>
    <xf numFmtId="1" fontId="46" fillId="0" borderId="3" xfId="17" applyNumberFormat="1" applyFont="1" applyBorder="1" applyAlignment="1">
      <alignment horizontal="center"/>
    </xf>
    <xf numFmtId="167" fontId="44" fillId="12" borderId="16" xfId="17" applyNumberFormat="1" applyFont="1" applyFill="1" applyBorder="1" applyAlignment="1">
      <alignment horizontal="right" vertical="center" wrapText="1"/>
    </xf>
    <xf numFmtId="167" fontId="44" fillId="12" borderId="17" xfId="17" applyNumberFormat="1" applyFont="1" applyFill="1" applyBorder="1" applyAlignment="1">
      <alignment horizontal="right" vertical="center" wrapText="1"/>
    </xf>
    <xf numFmtId="4" fontId="43" fillId="0" borderId="0" xfId="17" applyNumberFormat="1" applyFont="1"/>
    <xf numFmtId="1" fontId="46" fillId="2" borderId="3" xfId="17" applyNumberFormat="1" applyFont="1" applyFill="1" applyBorder="1" applyAlignment="1">
      <alignment horizontal="center"/>
    </xf>
    <xf numFmtId="166" fontId="46" fillId="0" borderId="8" xfId="1" applyFont="1" applyFill="1" applyBorder="1" applyAlignment="1">
      <alignment horizontal="right" vertical="center"/>
    </xf>
    <xf numFmtId="166" fontId="46" fillId="2" borderId="7" xfId="1" applyFont="1" applyFill="1" applyBorder="1" applyAlignment="1">
      <alignment horizontal="right"/>
    </xf>
    <xf numFmtId="0" fontId="57" fillId="0" borderId="0" xfId="0" applyFont="1" applyAlignment="1">
      <alignment horizontal="left"/>
    </xf>
    <xf numFmtId="0" fontId="57" fillId="0" borderId="25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24" borderId="3" xfId="0" applyFont="1" applyFill="1" applyBorder="1" applyAlignment="1">
      <alignment horizontal="center"/>
    </xf>
    <xf numFmtId="166" fontId="77" fillId="0" borderId="0" xfId="1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49" fontId="40" fillId="19" borderId="4" xfId="0" applyNumberFormat="1" applyFont="1" applyFill="1" applyBorder="1" applyAlignment="1">
      <alignment horizontal="center" vertical="center"/>
    </xf>
    <xf numFmtId="49" fontId="40" fillId="19" borderId="23" xfId="0" applyNumberFormat="1" applyFont="1" applyFill="1" applyBorder="1" applyAlignment="1">
      <alignment horizontal="center" vertical="center"/>
    </xf>
    <xf numFmtId="49" fontId="40" fillId="19" borderId="24" xfId="0" applyNumberFormat="1" applyFont="1" applyFill="1" applyBorder="1" applyAlignment="1">
      <alignment horizontal="center" vertical="center"/>
    </xf>
    <xf numFmtId="0" fontId="40" fillId="19" borderId="4" xfId="0" applyFont="1" applyFill="1" applyBorder="1" applyAlignment="1">
      <alignment horizontal="center" vertical="center"/>
    </xf>
    <xf numFmtId="0" fontId="40" fillId="19" borderId="23" xfId="0" applyFont="1" applyFill="1" applyBorder="1" applyAlignment="1">
      <alignment horizontal="center" vertical="center"/>
    </xf>
    <xf numFmtId="0" fontId="40" fillId="19" borderId="24" xfId="0" applyFont="1" applyFill="1" applyBorder="1" applyAlignment="1">
      <alignment horizontal="center" vertical="center"/>
    </xf>
    <xf numFmtId="167" fontId="59" fillId="0" borderId="3" xfId="0" applyNumberFormat="1" applyFont="1" applyBorder="1" applyAlignment="1">
      <alignment horizontal="right"/>
    </xf>
    <xf numFmtId="167" fontId="59" fillId="0" borderId="8" xfId="0" applyNumberFormat="1" applyFont="1" applyBorder="1" applyAlignment="1">
      <alignment horizontal="right"/>
    </xf>
    <xf numFmtId="166" fontId="58" fillId="0" borderId="4" xfId="1" applyFont="1" applyBorder="1" applyAlignment="1">
      <alignment horizontal="center"/>
    </xf>
    <xf numFmtId="166" fontId="58" fillId="0" borderId="23" xfId="1" applyFont="1" applyBorder="1" applyAlignment="1">
      <alignment horizontal="center"/>
    </xf>
    <xf numFmtId="166" fontId="58" fillId="0" borderId="24" xfId="1" applyFont="1" applyBorder="1" applyAlignment="1">
      <alignment horizontal="center"/>
    </xf>
    <xf numFmtId="167" fontId="58" fillId="0" borderId="3" xfId="0" applyNumberFormat="1" applyFont="1" applyBorder="1" applyAlignment="1">
      <alignment horizontal="right"/>
    </xf>
    <xf numFmtId="167" fontId="59" fillId="0" borderId="4" xfId="0" applyNumberFormat="1" applyFont="1" applyBorder="1" applyAlignment="1">
      <alignment horizontal="right"/>
    </xf>
    <xf numFmtId="167" fontId="59" fillId="0" borderId="23" xfId="0" applyNumberFormat="1" applyFont="1" applyBorder="1" applyAlignment="1">
      <alignment horizontal="right"/>
    </xf>
    <xf numFmtId="167" fontId="59" fillId="0" borderId="24" xfId="0" applyNumberFormat="1" applyFont="1" applyBorder="1" applyAlignment="1">
      <alignment horizontal="right"/>
    </xf>
    <xf numFmtId="0" fontId="40" fillId="19" borderId="3" xfId="0" applyFont="1" applyFill="1" applyBorder="1" applyAlignment="1">
      <alignment horizontal="center" vertical="center"/>
    </xf>
    <xf numFmtId="168" fontId="40" fillId="9" borderId="3" xfId="9" applyFont="1" applyFill="1" applyBorder="1" applyAlignment="1">
      <alignment horizontal="center" vertical="center"/>
    </xf>
    <xf numFmtId="168" fontId="40" fillId="16" borderId="4" xfId="9" applyFont="1" applyFill="1" applyBorder="1" applyAlignment="1">
      <alignment horizontal="center" vertical="center"/>
    </xf>
    <xf numFmtId="168" fontId="40" fillId="16" borderId="23" xfId="9" applyFont="1" applyFill="1" applyBorder="1" applyAlignment="1">
      <alignment horizontal="center" vertical="center"/>
    </xf>
    <xf numFmtId="168" fontId="40" fillId="16" borderId="24" xfId="9" applyFont="1" applyFill="1" applyBorder="1" applyAlignment="1">
      <alignment horizontal="center" vertical="center"/>
    </xf>
    <xf numFmtId="168" fontId="40" fillId="17" borderId="4" xfId="9" applyFont="1" applyFill="1" applyBorder="1" applyAlignment="1">
      <alignment horizontal="center" vertical="center"/>
    </xf>
    <xf numFmtId="168" fontId="40" fillId="17" borderId="23" xfId="9" applyFont="1" applyFill="1" applyBorder="1" applyAlignment="1">
      <alignment horizontal="center" vertical="center"/>
    </xf>
    <xf numFmtId="168" fontId="40" fillId="17" borderId="24" xfId="9" applyFont="1" applyFill="1" applyBorder="1" applyAlignment="1">
      <alignment horizontal="center" vertical="center"/>
    </xf>
    <xf numFmtId="168" fontId="40" fillId="18" borderId="4" xfId="9" applyFont="1" applyFill="1" applyBorder="1" applyAlignment="1">
      <alignment horizontal="center" vertical="center"/>
    </xf>
    <xf numFmtId="168" fontId="40" fillId="18" borderId="23" xfId="9" applyFont="1" applyFill="1" applyBorder="1" applyAlignment="1">
      <alignment horizontal="center" vertical="center"/>
    </xf>
    <xf numFmtId="168" fontId="40" fillId="18" borderId="24" xfId="9" applyFont="1" applyFill="1" applyBorder="1" applyAlignment="1">
      <alignment horizontal="center" vertical="center"/>
    </xf>
    <xf numFmtId="168" fontId="40" fillId="12" borderId="4" xfId="9" applyFont="1" applyFill="1" applyBorder="1" applyAlignment="1">
      <alignment horizontal="center" vertical="center"/>
    </xf>
    <xf numFmtId="168" fontId="40" fillId="12" borderId="23" xfId="9" applyFont="1" applyFill="1" applyBorder="1" applyAlignment="1">
      <alignment horizontal="center" vertical="center"/>
    </xf>
    <xf numFmtId="168" fontId="40" fillId="12" borderId="24" xfId="9" applyFont="1" applyFill="1" applyBorder="1" applyAlignment="1">
      <alignment horizontal="center" vertical="center"/>
    </xf>
    <xf numFmtId="0" fontId="40" fillId="4" borderId="8" xfId="0" applyFont="1" applyFill="1" applyBorder="1" applyAlignment="1">
      <alignment horizontal="center" vertical="center" wrapText="1"/>
    </xf>
    <xf numFmtId="0" fontId="40" fillId="4" borderId="7" xfId="0" applyFont="1" applyFill="1" applyBorder="1" applyAlignment="1">
      <alignment horizontal="center" vertical="center" wrapText="1"/>
    </xf>
    <xf numFmtId="0" fontId="40" fillId="4" borderId="8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168" fontId="40" fillId="15" borderId="4" xfId="9" applyFont="1" applyFill="1" applyBorder="1" applyAlignment="1">
      <alignment horizontal="center" vertical="center"/>
    </xf>
    <xf numFmtId="168" fontId="40" fillId="15" borderId="23" xfId="9" applyFont="1" applyFill="1" applyBorder="1" applyAlignment="1">
      <alignment horizontal="center" vertical="center"/>
    </xf>
    <xf numFmtId="168" fontId="40" fillId="15" borderId="24" xfId="9" applyFont="1" applyFill="1" applyBorder="1" applyAlignment="1">
      <alignment horizontal="center" vertical="center"/>
    </xf>
    <xf numFmtId="168" fontId="40" fillId="4" borderId="4" xfId="9" applyFont="1" applyFill="1" applyBorder="1" applyAlignment="1">
      <alignment horizontal="center" vertical="center"/>
    </xf>
    <xf numFmtId="168" fontId="40" fillId="4" borderId="23" xfId="9" applyFont="1" applyFill="1" applyBorder="1" applyAlignment="1">
      <alignment horizontal="center" vertical="center"/>
    </xf>
    <xf numFmtId="168" fontId="40" fillId="4" borderId="24" xfId="9" applyFont="1" applyFill="1" applyBorder="1" applyAlignment="1">
      <alignment horizontal="center" vertical="center"/>
    </xf>
    <xf numFmtId="168" fontId="40" fillId="14" borderId="4" xfId="9" applyFont="1" applyFill="1" applyBorder="1" applyAlignment="1">
      <alignment horizontal="center" vertical="center"/>
    </xf>
    <xf numFmtId="168" fontId="40" fillId="14" borderId="23" xfId="9" applyFont="1" applyFill="1" applyBorder="1" applyAlignment="1">
      <alignment horizontal="center" vertical="center"/>
    </xf>
    <xf numFmtId="168" fontId="40" fillId="14" borderId="24" xfId="9" applyFont="1" applyFill="1" applyBorder="1" applyAlignment="1">
      <alignment horizontal="center" vertical="center"/>
    </xf>
    <xf numFmtId="168" fontId="40" fillId="13" borderId="4" xfId="9" applyFont="1" applyFill="1" applyBorder="1" applyAlignment="1">
      <alignment horizontal="center" vertical="center"/>
    </xf>
    <xf numFmtId="168" fontId="40" fillId="13" borderId="23" xfId="9" applyFont="1" applyFill="1" applyBorder="1" applyAlignment="1">
      <alignment horizontal="center" vertical="center"/>
    </xf>
    <xf numFmtId="168" fontId="40" fillId="13" borderId="24" xfId="9" applyFont="1" applyFill="1" applyBorder="1" applyAlignment="1">
      <alignment horizontal="center" vertical="center"/>
    </xf>
    <xf numFmtId="168" fontId="40" fillId="11" borderId="4" xfId="9" applyFont="1" applyFill="1" applyBorder="1" applyAlignment="1">
      <alignment horizontal="center" vertical="center"/>
    </xf>
    <xf numFmtId="168" fontId="40" fillId="11" borderId="23" xfId="9" applyFont="1" applyFill="1" applyBorder="1" applyAlignment="1">
      <alignment horizontal="center" vertical="center"/>
    </xf>
    <xf numFmtId="168" fontId="40" fillId="11" borderId="24" xfId="9" applyFont="1" applyFill="1" applyBorder="1" applyAlignment="1">
      <alignment horizontal="center" vertical="center"/>
    </xf>
    <xf numFmtId="168" fontId="40" fillId="10" borderId="4" xfId="9" applyFont="1" applyFill="1" applyBorder="1" applyAlignment="1">
      <alignment horizontal="center" vertical="center"/>
    </xf>
    <xf numFmtId="168" fontId="40" fillId="10" borderId="23" xfId="9" applyFont="1" applyFill="1" applyBorder="1" applyAlignment="1">
      <alignment horizontal="center" vertical="center"/>
    </xf>
    <xf numFmtId="168" fontId="40" fillId="10" borderId="24" xfId="9" applyFont="1" applyFill="1" applyBorder="1" applyAlignment="1">
      <alignment horizontal="center" vertical="center"/>
    </xf>
    <xf numFmtId="168" fontId="40" fillId="8" borderId="4" xfId="9" applyFont="1" applyFill="1" applyBorder="1" applyAlignment="1">
      <alignment horizontal="center" vertical="center"/>
    </xf>
    <xf numFmtId="168" fontId="40" fillId="8" borderId="23" xfId="9" applyFont="1" applyFill="1" applyBorder="1" applyAlignment="1">
      <alignment horizontal="center" vertical="center"/>
    </xf>
    <xf numFmtId="168" fontId="40" fillId="8" borderId="24" xfId="9" applyFont="1" applyFill="1" applyBorder="1" applyAlignment="1">
      <alignment horizontal="center" vertical="center"/>
    </xf>
    <xf numFmtId="0" fontId="5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167" fontId="58" fillId="0" borderId="4" xfId="0" applyNumberFormat="1" applyFont="1" applyBorder="1" applyAlignment="1">
      <alignment horizontal="right"/>
    </xf>
    <xf numFmtId="167" fontId="58" fillId="0" borderId="23" xfId="0" applyNumberFormat="1" applyFont="1" applyBorder="1" applyAlignment="1">
      <alignment horizontal="right"/>
    </xf>
    <xf numFmtId="167" fontId="58" fillId="0" borderId="24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49" fontId="40" fillId="19" borderId="3" xfId="0" applyNumberFormat="1" applyFont="1" applyFill="1" applyBorder="1" applyAlignment="1">
      <alignment horizontal="center" vertical="center"/>
    </xf>
    <xf numFmtId="49" fontId="27" fillId="19" borderId="3" xfId="0" applyNumberFormat="1" applyFont="1" applyFill="1" applyBorder="1" applyAlignment="1">
      <alignment horizontal="left" vertical="center"/>
    </xf>
    <xf numFmtId="49" fontId="27" fillId="0" borderId="0" xfId="0" applyNumberFormat="1" applyFont="1" applyAlignment="1">
      <alignment horizontal="center"/>
    </xf>
    <xf numFmtId="0" fontId="44" fillId="12" borderId="11" xfId="17" applyFont="1" applyFill="1" applyBorder="1" applyAlignment="1">
      <alignment horizontal="center"/>
    </xf>
    <xf numFmtId="0" fontId="44" fillId="12" borderId="15" xfId="17" applyFont="1" applyFill="1" applyBorder="1" applyAlignment="1">
      <alignment horizontal="center"/>
    </xf>
    <xf numFmtId="0" fontId="44" fillId="12" borderId="22" xfId="17" applyFont="1" applyFill="1" applyBorder="1" applyAlignment="1">
      <alignment horizontal="center"/>
    </xf>
    <xf numFmtId="0" fontId="43" fillId="0" borderId="0" xfId="17" applyFont="1" applyAlignment="1">
      <alignment horizontal="center"/>
    </xf>
    <xf numFmtId="0" fontId="44" fillId="0" borderId="0" xfId="17" applyFont="1" applyAlignment="1">
      <alignment horizontal="center" vertical="center"/>
    </xf>
    <xf numFmtId="0" fontId="33" fillId="0" borderId="0" xfId="17" applyFont="1" applyAlignment="1">
      <alignment horizontal="center" vertical="center"/>
    </xf>
    <xf numFmtId="0" fontId="29" fillId="6" borderId="1" xfId="3" applyFont="1" applyFill="1" applyBorder="1" applyAlignment="1">
      <alignment horizontal="center"/>
    </xf>
    <xf numFmtId="0" fontId="31" fillId="0" borderId="0" xfId="3" applyFont="1" applyAlignment="1">
      <alignment horizontal="center"/>
    </xf>
    <xf numFmtId="0" fontId="32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29" fillId="7" borderId="14" xfId="3" applyFont="1" applyFill="1" applyBorder="1" applyAlignment="1">
      <alignment horizontal="center" vertical="center"/>
    </xf>
    <xf numFmtId="0" fontId="29" fillId="7" borderId="19" xfId="3" applyFont="1" applyFill="1" applyBorder="1" applyAlignment="1">
      <alignment horizontal="center" vertical="center"/>
    </xf>
    <xf numFmtId="0" fontId="29" fillId="8" borderId="11" xfId="3" applyFont="1" applyFill="1" applyBorder="1" applyAlignment="1">
      <alignment horizontal="center" vertical="center"/>
    </xf>
    <xf numFmtId="0" fontId="29" fillId="8" borderId="15" xfId="3" applyFont="1" applyFill="1" applyBorder="1" applyAlignment="1">
      <alignment horizontal="center" vertical="center"/>
    </xf>
    <xf numFmtId="0" fontId="29" fillId="7" borderId="11" xfId="3" applyFont="1" applyFill="1" applyBorder="1" applyAlignment="1">
      <alignment horizontal="center" vertical="center"/>
    </xf>
    <xf numFmtId="0" fontId="29" fillId="7" borderId="12" xfId="3" applyFont="1" applyFill="1" applyBorder="1" applyAlignment="1">
      <alignment horizontal="center" vertical="center"/>
    </xf>
    <xf numFmtId="0" fontId="29" fillId="7" borderId="15" xfId="3" applyFont="1" applyFill="1" applyBorder="1" applyAlignment="1">
      <alignment horizontal="center" vertical="center"/>
    </xf>
    <xf numFmtId="0" fontId="50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4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9">
    <cellStyle name="Euro" xfId="11"/>
    <cellStyle name="Millares" xfId="1" builtinId="3"/>
    <cellStyle name="Millares 2" xfId="9"/>
    <cellStyle name="Millares 2 2" xfId="10"/>
    <cellStyle name="Millares 2 2 2" xfId="16"/>
    <cellStyle name="Millares 2 3" xfId="4"/>
    <cellStyle name="Millares 2 4" xfId="14"/>
    <cellStyle name="Millares 3" xfId="7"/>
    <cellStyle name="Millares 3 2" xfId="12"/>
    <cellStyle name="Moneda 2" xfId="15"/>
    <cellStyle name="Normal" xfId="0" builtinId="0"/>
    <cellStyle name="Normal 2" xfId="3"/>
    <cellStyle name="Normal 3" xfId="5"/>
    <cellStyle name="Normal 3 2" xfId="17"/>
    <cellStyle name="Normal 4" xfId="6"/>
    <cellStyle name="Normal 5" xfId="13"/>
    <cellStyle name="Porcentaje" xfId="2" builtinId="5"/>
    <cellStyle name="Porcentaje 2" xfId="8"/>
    <cellStyle name="Porcentaje 2 2" xfId="18"/>
  </cellStyles>
  <dxfs count="0"/>
  <tableStyles count="0" defaultTableStyle="TableStyleMedium2" defaultPivotStyle="PivotStyleLight16"/>
  <colors>
    <mruColors>
      <color rgb="FFFFCCFF"/>
      <color rgb="FFB6EBFC"/>
      <color rgb="FFEFBFF3"/>
      <color rgb="FFB4FEF7"/>
      <color rgb="FF8C8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116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" name="Imagen 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" name="Imagen 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2" name="Imagen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3" name="Imagen 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4" name="Imagen 1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5" name="Imagen 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6" name="Imagen 1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7" name="Imagen 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8" name="Imagen 1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9" name="Imagen 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0" name="Imagen 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1" name="Imagen 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2" name="Imagen 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3" name="Imagen 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4" name="Imagen 1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5" name="Imagen 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6" name="Imagen 1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7" name="Imagen 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8" name="Imagen 1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9" name="Imagen 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0" name="Imagen 1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1" name="Imagen 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2" name="Imagen 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3" name="Imagen 1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4" name="Imagen 1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5" name="Imagen 1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6" name="Imagen 1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7" name="Imagen 1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8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9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40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41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78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79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0" name="Imagen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1" name="Imagen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2" name="Imagen 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3" name="Imagen 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4" name="Imagen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5" name="Imagen 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6" name="Imagen 1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7" name="Imagen 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8" name="Imagen 1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9" name="Imagen 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0" name="Imagen 1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1" name="Imagen 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2" name="Imagen 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3" name="Imagen 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4" name="Imagen 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5" name="Imagen 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6" name="Imagen 1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7" name="Imagen 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8" name="Imagen 1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9" name="Imagen 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0" name="Imagen 1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1" name="Imagen 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2" name="Imagen 1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3" name="Imagen 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4" name="Imagen 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5" name="Imagen 1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6" name="Imagen 1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7" name="Imagen 1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8" name="Imagen 1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9" name="Imagen 1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0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1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3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</xdr:row>
      <xdr:rowOff>9525</xdr:rowOff>
    </xdr:from>
    <xdr:to>
      <xdr:col>5</xdr:col>
      <xdr:colOff>171450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1450"/>
          <a:ext cx="2076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</xdr:row>
      <xdr:rowOff>9525</xdr:rowOff>
    </xdr:from>
    <xdr:to>
      <xdr:col>5</xdr:col>
      <xdr:colOff>171450</xdr:colOff>
      <xdr:row>5</xdr:row>
      <xdr:rowOff>171450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1450"/>
          <a:ext cx="2076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</xdr:row>
      <xdr:rowOff>9525</xdr:rowOff>
    </xdr:from>
    <xdr:to>
      <xdr:col>5</xdr:col>
      <xdr:colOff>171450</xdr:colOff>
      <xdr:row>5</xdr:row>
      <xdr:rowOff>171450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1450"/>
          <a:ext cx="2076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EUDA%20POR%20PAGAR%20AL%20%20MES%20DE%20AGOSTO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3\Users\user\Downloads\4.%20MATRICES%20EESS%20MARZO%202023kk,%20HOSPITAL%20INMACULADA%20CONCEPCION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ATOS/SENASA%20MARZO%202025/SENASA%20MARZO%202025/DEUDA%20MARZO%202025/4.%20MATRICES%20EESS%20%20MARZO.%202025,%20..HOSPITAL%20INMACULADA%20CONCEP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"/>
      <sheetName val="JHONNY VASQUEZ"/>
      <sheetName val="FIGUEROA CABRERA TOURS"/>
      <sheetName val="Hoja29"/>
      <sheetName val="HOJA 01"/>
      <sheetName val="Hoja1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"/>
      <sheetName val="Hoja3"/>
      <sheetName val="ESTACION DE SERVICIOS HNOS CONT"/>
      <sheetName val="AIR LIQUIDE"/>
      <sheetName val="Hoja6"/>
      <sheetName val="Hoja7"/>
      <sheetName val="Hoja8"/>
      <sheetName val="Hoja9"/>
      <sheetName val="Hoja10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YOJANCER PRINT COLOR"/>
      <sheetName val="Hoja30"/>
      <sheetName val="Hoja11"/>
    </sheetNames>
    <sheetDataSet>
      <sheetData sheetId="0">
        <row r="151">
          <cell r="B151" t="str">
            <v>Corporea RD, SRL</v>
          </cell>
        </row>
        <row r="152">
          <cell r="B152" t="str">
            <v>Brenmarfa Import, SRL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or Objeto"/>
      <sheetName val="Deuda Por suplidor "/>
      <sheetName val="DEUDA RESUMEN "/>
      <sheetName val="GASTOS X MES FR"/>
      <sheetName val="GLOSA"/>
      <sheetName val="PROMESE"/>
      <sheetName val="RESUMEN ARS "/>
      <sheetName val="INGRESOS X FACT"/>
      <sheetName val="No tocar Uso liby "/>
    </sheetNames>
    <sheetDataSet>
      <sheetData sheetId="0" refreshError="1">
        <row r="3">
          <cell r="A3" t="str">
            <v>HOSPITAL INMACULADA CONCEPCION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or Objeto"/>
      <sheetName val="Deuda Por suplidor "/>
      <sheetName val="DEUDA RESUMEN "/>
      <sheetName val="GASTOS X MES FR"/>
      <sheetName val="RESUMEN ARS "/>
      <sheetName val="INGRESOS X FACT"/>
      <sheetName val="No tocar Uso liby "/>
    </sheetNames>
    <sheetDataSet>
      <sheetData sheetId="0"/>
      <sheetData sheetId="1"/>
      <sheetData sheetId="2">
        <row r="4">
          <cell r="A4" t="str">
            <v>HOSPITAL INMACULADA CONCEPCION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topLeftCell="A22" zoomScale="80" zoomScaleNormal="80" workbookViewId="0">
      <selection activeCell="L36" sqref="L36"/>
    </sheetView>
  </sheetViews>
  <sheetFormatPr baseColWidth="10" defaultRowHeight="15.75" x14ac:dyDescent="0.25"/>
  <cols>
    <col min="1" max="1" width="14.85546875" style="106" bestFit="1" customWidth="1"/>
    <col min="2" max="2" width="54.85546875" style="106" customWidth="1"/>
    <col min="3" max="3" width="15.7109375" style="106" customWidth="1"/>
    <col min="4" max="4" width="14.85546875" style="106" customWidth="1"/>
    <col min="5" max="5" width="14.5703125" style="106" customWidth="1"/>
    <col min="6" max="6" width="13.28515625" style="106" customWidth="1"/>
    <col min="7" max="7" width="16" style="154" customWidth="1"/>
    <col min="8" max="9" width="16" style="136" customWidth="1"/>
    <col min="10" max="10" width="16" style="181" customWidth="1"/>
    <col min="11" max="11" width="14" style="106" customWidth="1"/>
    <col min="12" max="12" width="19.42578125" style="106" bestFit="1" customWidth="1"/>
    <col min="13" max="16384" width="11.42578125" style="106"/>
  </cols>
  <sheetData>
    <row r="1" spans="1:12" ht="15.75" customHeight="1" x14ac:dyDescent="0.25">
      <c r="A1" s="180"/>
      <c r="B1" s="180"/>
      <c r="C1" s="180"/>
      <c r="D1" s="180"/>
      <c r="E1" s="180"/>
      <c r="F1" s="180"/>
      <c r="G1" s="180"/>
      <c r="H1" s="187"/>
      <c r="I1" s="181"/>
      <c r="K1" s="181"/>
      <c r="L1" s="180"/>
    </row>
    <row r="2" spans="1:12" s="1" customFormat="1" ht="15.6" customHeight="1" x14ac:dyDescent="0.25">
      <c r="A2" s="300" t="s">
        <v>13</v>
      </c>
      <c r="B2" s="300"/>
      <c r="C2" s="300"/>
      <c r="D2" s="300"/>
      <c r="E2" s="300"/>
      <c r="F2" s="300"/>
      <c r="G2" s="300"/>
      <c r="H2" s="300"/>
      <c r="I2" s="300"/>
      <c r="J2" s="262"/>
      <c r="K2" s="262"/>
      <c r="L2" s="179"/>
    </row>
    <row r="3" spans="1:12" s="1" customFormat="1" ht="15.6" customHeight="1" x14ac:dyDescent="0.25">
      <c r="A3" s="300" t="s">
        <v>174</v>
      </c>
      <c r="B3" s="300"/>
      <c r="C3" s="300"/>
      <c r="D3" s="300"/>
      <c r="E3" s="300"/>
      <c r="F3" s="300"/>
      <c r="G3" s="300"/>
      <c r="H3" s="300"/>
      <c r="I3" s="300"/>
      <c r="J3" s="262"/>
      <c r="K3" s="262"/>
      <c r="L3" s="179"/>
    </row>
    <row r="4" spans="1:12" s="1" customFormat="1" x14ac:dyDescent="0.25">
      <c r="A4" s="300" t="s">
        <v>311</v>
      </c>
      <c r="B4" s="300"/>
      <c r="C4" s="300"/>
      <c r="D4" s="300"/>
      <c r="E4" s="300"/>
      <c r="F4" s="300"/>
      <c r="G4" s="300"/>
      <c r="H4" s="300"/>
      <c r="I4" s="300"/>
      <c r="J4" s="262"/>
      <c r="K4" s="262"/>
      <c r="L4" s="179"/>
    </row>
    <row r="5" spans="1:12" s="1" customFormat="1" ht="15.6" customHeight="1" x14ac:dyDescent="0.25">
      <c r="A5" s="300" t="s">
        <v>142</v>
      </c>
      <c r="B5" s="300"/>
      <c r="C5" s="300"/>
      <c r="D5" s="300"/>
      <c r="E5" s="300"/>
      <c r="F5" s="300"/>
      <c r="G5" s="300"/>
      <c r="H5" s="300"/>
      <c r="I5" s="300"/>
      <c r="J5" s="262"/>
      <c r="K5" s="262"/>
      <c r="L5" s="179"/>
    </row>
    <row r="6" spans="1:12" s="1" customFormat="1" ht="15.6" customHeight="1" x14ac:dyDescent="0.25">
      <c r="A6" s="179"/>
      <c r="B6" s="179"/>
      <c r="C6" s="179"/>
      <c r="D6" s="179"/>
      <c r="E6" s="179"/>
      <c r="F6" s="179"/>
      <c r="G6" s="179"/>
      <c r="H6" s="189"/>
      <c r="I6" s="189"/>
      <c r="J6" s="189"/>
      <c r="K6" s="194">
        <v>45930</v>
      </c>
      <c r="L6" s="179"/>
    </row>
    <row r="7" spans="1:12" s="1" customFormat="1" ht="31.15" customHeight="1" x14ac:dyDescent="0.25">
      <c r="A7" s="263" t="s">
        <v>145</v>
      </c>
      <c r="B7" s="263" t="s">
        <v>146</v>
      </c>
      <c r="C7" s="195" t="s">
        <v>147</v>
      </c>
      <c r="D7" s="195">
        <v>2017</v>
      </c>
      <c r="E7" s="263">
        <v>2018</v>
      </c>
      <c r="F7" s="263">
        <v>2019</v>
      </c>
      <c r="G7" s="263">
        <v>2020</v>
      </c>
      <c r="H7" s="196">
        <v>2021</v>
      </c>
      <c r="I7" s="263">
        <v>2022</v>
      </c>
      <c r="J7" s="263">
        <v>2023</v>
      </c>
      <c r="K7" s="263">
        <v>2024</v>
      </c>
      <c r="L7" s="265">
        <v>2025</v>
      </c>
    </row>
    <row r="8" spans="1:12" s="1" customFormat="1" ht="15.6" customHeight="1" x14ac:dyDescent="0.25">
      <c r="A8" s="183">
        <v>2112.0100000000002</v>
      </c>
      <c r="B8" s="182" t="s">
        <v>72</v>
      </c>
      <c r="C8" s="184">
        <f>SUM(D8:L8)</f>
        <v>0</v>
      </c>
      <c r="D8" s="184">
        <v>0</v>
      </c>
      <c r="E8" s="184">
        <v>0</v>
      </c>
      <c r="F8" s="184">
        <v>0</v>
      </c>
      <c r="G8" s="184">
        <v>0</v>
      </c>
      <c r="H8" s="184">
        <v>0</v>
      </c>
      <c r="I8" s="192">
        <v>0</v>
      </c>
      <c r="J8" s="188">
        <v>0</v>
      </c>
      <c r="K8" s="188"/>
      <c r="L8" s="188"/>
    </row>
    <row r="9" spans="1:12" s="1" customFormat="1" ht="15.6" customHeight="1" x14ac:dyDescent="0.25">
      <c r="A9" s="183">
        <v>2112.04</v>
      </c>
      <c r="B9" s="182" t="s">
        <v>71</v>
      </c>
      <c r="C9" s="184">
        <f t="shared" ref="C9:C39" si="0">SUM(D9:L9)</f>
        <v>0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92">
        <v>0</v>
      </c>
      <c r="J9" s="188">
        <v>0</v>
      </c>
      <c r="K9" s="188"/>
      <c r="L9" s="188"/>
    </row>
    <row r="10" spans="1:12" s="1" customFormat="1" ht="15.6" customHeight="1" x14ac:dyDescent="0.25">
      <c r="A10" s="183">
        <v>2122.08</v>
      </c>
      <c r="B10" s="182" t="s">
        <v>70</v>
      </c>
      <c r="C10" s="184">
        <f t="shared" si="0"/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92">
        <v>0</v>
      </c>
      <c r="J10" s="188">
        <v>0</v>
      </c>
      <c r="K10" s="188"/>
      <c r="L10" s="188"/>
    </row>
    <row r="11" spans="1:12" s="1" customFormat="1" ht="15.6" customHeight="1" x14ac:dyDescent="0.25">
      <c r="A11" s="183">
        <v>2122.06</v>
      </c>
      <c r="B11" s="182" t="s">
        <v>69</v>
      </c>
      <c r="C11" s="184">
        <f t="shared" si="0"/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92">
        <v>0</v>
      </c>
      <c r="J11" s="188">
        <v>0</v>
      </c>
      <c r="K11" s="188"/>
      <c r="L11" s="188"/>
    </row>
    <row r="12" spans="1:12" s="1" customFormat="1" x14ac:dyDescent="0.25">
      <c r="A12" s="183">
        <v>2212</v>
      </c>
      <c r="B12" s="182" t="s">
        <v>73</v>
      </c>
      <c r="C12" s="184">
        <f t="shared" si="0"/>
        <v>49734.210000000006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92">
        <v>0</v>
      </c>
      <c r="J12" s="188">
        <f>6404.16-6404.16</f>
        <v>0</v>
      </c>
      <c r="K12" s="188">
        <v>0</v>
      </c>
      <c r="L12" s="188">
        <f>46855.12+2879.09</f>
        <v>49734.210000000006</v>
      </c>
    </row>
    <row r="13" spans="1:12" s="1" customFormat="1" x14ac:dyDescent="0.25">
      <c r="A13" s="183">
        <v>2231</v>
      </c>
      <c r="B13" s="182" t="s">
        <v>17</v>
      </c>
      <c r="C13" s="184">
        <f>SUM(D13:L13)</f>
        <v>79012.5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92">
        <v>0</v>
      </c>
      <c r="J13" s="188">
        <v>0</v>
      </c>
      <c r="K13" s="188">
        <f>14150+900-900+900-900+450+1200+800+1050+800+1350-1350+900-900+1350-1350+750+900-900+900-900+1200+1200+14400+750-900-750-1350-1500-900-900-900-1200-2250-750-900-900-900-1450+900+900+900+1050+900+900+900+900+900+900+900+900+900+900-900+900-12800+900+1500+4950-4950+1350+750-21700+13350+1350+1350-1350+1350-13250-17850+1550+1350+900+900+900+900+900+900+900+900+750+750-750+750+1950-1950+900+750+900+900+1350+900+900+2700-2700+900-900+750+900-900+900+900+1350-1350+900+1200-1200+1800-1800+900-900+900-900+750-750+900-900+750-750+2300-2300+900-900+900-900+1200-1200-900+1350+2800+750+900+900-900-800-900-13750</f>
        <v>0</v>
      </c>
      <c r="L13" s="188">
        <f>1350-1350+1350-1350+800+1200-1200+1350-1350+900-900-900-900+900-900+1950-1950+1950-1950+9900+750+750-750-750+1200-1200-100+750+900-900+1950-1950+1950-1950+1950-1950-1950+900+900+900+900+900+900+900+900+750-750+900+900+900+900+900+900+900+900+900+900+900+900+900+900+900+900+900+1350+900-900+900-900+1350+1350+1350+1350-1350+1350+900+900+900+1750+2150+1350-1350+1750+1200-1200-900-750-900-900-1350-1350-900+2550+800+900+1950+1350+900+1200+900+900+900+900+1750+900+900+900+900-1350-900-900-900-1350-900-800-900-900-900-900-3150-900-900-1050-900-1800-1350-900-800-8100-900-6350-900+11800-1050-1350-1350+900+2300-900-21650+2450+1350+17800+900+1550+1400+1400+5400+1050+1200+1350-12550+9750+1350+1350+1350+1350+1350+1350+17300+1350+1350+22250-900-5400-20200+17300+20150-41750+5000+6350+8312.5</f>
        <v>79012.5</v>
      </c>
    </row>
    <row r="14" spans="1:12" s="1" customFormat="1" ht="15.6" customHeight="1" x14ac:dyDescent="0.25">
      <c r="A14" s="183">
        <v>2242</v>
      </c>
      <c r="B14" s="182" t="s">
        <v>18</v>
      </c>
      <c r="C14" s="184">
        <f t="shared" si="0"/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8">
        <v>0</v>
      </c>
      <c r="J14" s="188">
        <v>0</v>
      </c>
      <c r="K14" s="188">
        <f>160+1132.8-1017.6-275.2</f>
        <v>0</v>
      </c>
      <c r="L14" s="188"/>
    </row>
    <row r="15" spans="1:12" s="1" customFormat="1" x14ac:dyDescent="0.25">
      <c r="A15" s="183">
        <v>2254</v>
      </c>
      <c r="B15" s="182" t="s">
        <v>74</v>
      </c>
      <c r="C15" s="184">
        <f t="shared" si="0"/>
        <v>76465.760000000009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8">
        <v>0</v>
      </c>
      <c r="J15" s="188">
        <f>24426-6754.8-17671.2</f>
        <v>0</v>
      </c>
      <c r="K15" s="188">
        <f>17000-17000+103500+47000+12500+13565.28+19229.28+37500-103500+62500+25000-97000+52000-62500-25000-52000+65000-65000-32794.56</f>
        <v>0</v>
      </c>
      <c r="L15" s="188">
        <f>78000-78000+66000+39000-66000-39000+52000+51000-1534.24+13000+39000-51000-13000-39000+26000</f>
        <v>76465.760000000009</v>
      </c>
    </row>
    <row r="16" spans="1:12" s="1" customFormat="1" ht="15.6" customHeight="1" x14ac:dyDescent="0.25">
      <c r="A16" s="183">
        <v>2251</v>
      </c>
      <c r="B16" s="182" t="s">
        <v>76</v>
      </c>
      <c r="C16" s="184">
        <f t="shared" si="0"/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8">
        <v>0</v>
      </c>
      <c r="J16" s="188">
        <f>70346.88-70346.88</f>
        <v>0</v>
      </c>
      <c r="K16" s="188"/>
      <c r="L16" s="188"/>
    </row>
    <row r="17" spans="1:12" s="1" customFormat="1" ht="15.6" customHeight="1" x14ac:dyDescent="0.25">
      <c r="A17" s="183">
        <v>2282</v>
      </c>
      <c r="B17" s="182" t="s">
        <v>19</v>
      </c>
      <c r="C17" s="184">
        <f t="shared" si="0"/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8">
        <v>0</v>
      </c>
      <c r="J17" s="188">
        <v>0</v>
      </c>
      <c r="K17" s="188"/>
      <c r="L17" s="188"/>
    </row>
    <row r="18" spans="1:12" s="1" customFormat="1" x14ac:dyDescent="0.25">
      <c r="A18" s="183">
        <v>2272</v>
      </c>
      <c r="B18" s="191" t="s">
        <v>20</v>
      </c>
      <c r="C18" s="184">
        <f>SUM(D18:L18)</f>
        <v>100000</v>
      </c>
      <c r="D18" s="184">
        <v>0</v>
      </c>
      <c r="E18" s="184">
        <v>0</v>
      </c>
      <c r="F18" s="184">
        <v>0</v>
      </c>
      <c r="G18" s="184">
        <v>0</v>
      </c>
      <c r="H18" s="184">
        <f>5000-5000</f>
        <v>0</v>
      </c>
      <c r="I18" s="188">
        <v>0</v>
      </c>
      <c r="J18" s="188">
        <f>489110+17700+280970.39-51041.04-135700-61365-5900-136984.95-216530-62650-32324.16-85285.24</f>
        <v>0</v>
      </c>
      <c r="K18" s="188">
        <f>34220+26000-5000-8300+10030+47665.12+18880+31270+210040+6500-9558+21830-210040-5900+2950+10500+3600-6500-59259.6-2360+223728+102660+30680-30680+92040-18880-102660-21830-47665.12-31270-32794.56-8500+70000-26000-70000-4000+6500-6500-223728+38940+141600+70000-49992-70000-141600-38940+32324.16</f>
        <v>0</v>
      </c>
      <c r="L18" s="188">
        <f>70000-70000+70000-70000+29660-29660+97550-97550+70000-70000+70000-70000+108050-108050+70000-70000+70000-70000+841865-6175-835690+233640-233640+50386-50386+70000-70000+269781.04-269781.04+4000-4000+546340+853140+100000-853140-100000+100000-100000-546340+100000</f>
        <v>100000</v>
      </c>
    </row>
    <row r="19" spans="1:12" s="1" customFormat="1" ht="15.6" customHeight="1" x14ac:dyDescent="0.25">
      <c r="A19" s="183">
        <v>265</v>
      </c>
      <c r="B19" s="191" t="s">
        <v>86</v>
      </c>
      <c r="C19" s="184">
        <f>SUM(D19:L19)</f>
        <v>68549.950000000012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8">
        <v>0</v>
      </c>
      <c r="J19" s="188">
        <v>0</v>
      </c>
      <c r="K19" s="188">
        <f>136984.95-38435-30000+51477.5-51477.5</f>
        <v>68549.950000000012</v>
      </c>
      <c r="L19" s="188"/>
    </row>
    <row r="20" spans="1:12" s="1" customFormat="1" x14ac:dyDescent="0.25">
      <c r="A20" s="183">
        <v>2271</v>
      </c>
      <c r="B20" s="191" t="s">
        <v>94</v>
      </c>
      <c r="C20" s="184">
        <f t="shared" si="0"/>
        <v>34786.61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8">
        <v>0</v>
      </c>
      <c r="J20" s="188">
        <f>59387+6304-50000+6000+19399.61-6304</f>
        <v>34786.61</v>
      </c>
      <c r="K20" s="188"/>
      <c r="L20" s="188"/>
    </row>
    <row r="21" spans="1:12" s="1" customFormat="1" x14ac:dyDescent="0.25">
      <c r="A21" s="183">
        <v>2712.02</v>
      </c>
      <c r="B21" s="191" t="s">
        <v>98</v>
      </c>
      <c r="C21" s="184">
        <f>SUM(D21:L21)</f>
        <v>237333.47999999998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8">
        <v>0</v>
      </c>
      <c r="J21" s="188">
        <f>3500+51041.08+39920+16450+9950-19790</f>
        <v>101071.08</v>
      </c>
      <c r="K21" s="188">
        <f>13452-35000+2360-200+39648+29500+9610+225816.03+7080+160650+96390+44690+16000+45395-225816.03-2950-160650-7080-96390-115695+101875-101875-18000-14042+36580-36580+29500+74800.26-29500-74800.26</f>
        <v>14768</v>
      </c>
      <c r="L21" s="188">
        <f>44604-44604+129612.85-129612.85+56008.7-56008.7+23836-23836+25606-25606+48200-48200+96350-96350+94551.04+26943.36</f>
        <v>121494.39999999999</v>
      </c>
    </row>
    <row r="22" spans="1:12" s="1" customFormat="1" x14ac:dyDescent="0.25">
      <c r="A22" s="183">
        <v>2396</v>
      </c>
      <c r="B22" s="191" t="s">
        <v>25</v>
      </c>
      <c r="C22" s="184">
        <f t="shared" si="0"/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8">
        <v>0</v>
      </c>
      <c r="J22" s="188">
        <v>0</v>
      </c>
      <c r="K22" s="188" t="s">
        <v>30</v>
      </c>
      <c r="L22" s="188"/>
    </row>
    <row r="23" spans="1:12" s="1" customFormat="1" ht="15.6" customHeight="1" x14ac:dyDescent="0.25">
      <c r="A23" s="183">
        <v>2311</v>
      </c>
      <c r="B23" s="191" t="s">
        <v>21</v>
      </c>
      <c r="C23" s="184">
        <f>SUM(D23:L23)</f>
        <v>707388.89999999991</v>
      </c>
      <c r="D23" s="184">
        <f>7390+45215+54080</f>
        <v>106685</v>
      </c>
      <c r="E23" s="184">
        <f>25240+1400</f>
        <v>26640</v>
      </c>
      <c r="F23" s="184">
        <f>316785+120200+2080-129889-150000</f>
        <v>159176</v>
      </c>
      <c r="G23" s="184">
        <f>154965+22840-20740</f>
        <v>157065</v>
      </c>
      <c r="H23" s="184">
        <v>0</v>
      </c>
      <c r="I23" s="192">
        <v>0</v>
      </c>
      <c r="J23" s="188">
        <v>0</v>
      </c>
      <c r="K23" s="188">
        <f>33981+13750+21775+15840+20915+70535+8750+17785+17685+5430+13500+20800-211619+24300-76100-107750-7715+36510+81053+12775+22375+12645+21695+32615+21795+12830+143030+12290+22395-215634+11210+80857+9500+24060+23370+14510+22200+13500+23820+41800+15320+8335+34830+23595+15645+2628+81140-146975-152595-113472+15295-20800+23595+23800-57163+40500+22110-31930-122940+749006.18+150545+19550-150545-68110+130806.82-130806.82+20740-749006.18-106500-19550+256442.5-256442.5+129889</f>
        <v>-1.1641532182693481E-10</v>
      </c>
      <c r="L23" s="188">
        <f>23470-23470+176388.64+245740-245740+20505-20505+145355-145355-129889-176388.64+148115.7-148115.7+20825-20825+276820-276820+287865-287865+186246-186246+26050+181559-181559+104422.9+18000+19990+461870+17810-17810+184276.1-104422.9+244250-461870+23050+51000-244250-184276.1-8201+22140+338395-338395+212832.9+22850</f>
        <v>257822.9</v>
      </c>
    </row>
    <row r="24" spans="1:12" s="1" customFormat="1" x14ac:dyDescent="0.25">
      <c r="A24" s="183">
        <v>2292.0100000000002</v>
      </c>
      <c r="B24" s="191" t="s">
        <v>90</v>
      </c>
      <c r="C24" s="184">
        <f t="shared" si="0"/>
        <v>0</v>
      </c>
      <c r="D24" s="225">
        <v>0</v>
      </c>
      <c r="E24" s="184">
        <v>0</v>
      </c>
      <c r="F24" s="184">
        <v>0</v>
      </c>
      <c r="G24" s="184">
        <v>0</v>
      </c>
      <c r="H24" s="184">
        <v>0</v>
      </c>
      <c r="I24" s="192">
        <v>0</v>
      </c>
      <c r="J24" s="188">
        <v>0</v>
      </c>
      <c r="K24" s="188"/>
      <c r="L24" s="188">
        <f>59590-59590</f>
        <v>0</v>
      </c>
    </row>
    <row r="25" spans="1:12" s="1" customFormat="1" x14ac:dyDescent="0.25">
      <c r="A25" s="183">
        <v>2392</v>
      </c>
      <c r="B25" s="191" t="s">
        <v>77</v>
      </c>
      <c r="C25" s="184">
        <f>SUM(D25:L25)</f>
        <v>425104.82000000007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92">
        <v>0</v>
      </c>
      <c r="J25" s="188">
        <f>210193.28-210193.28</f>
        <v>0</v>
      </c>
      <c r="K25" s="188">
        <f>221113.57-15009.6+52769.6+49341.1-150450+24753.05+44950.48-174144.57+6980+42834+21966.96-80240+24780+14945+75478.41+37860-6390-104459.27+34545+42681.1+8040+28320-41753.05+14160+126496+58540.27-39610.48-68318.41-3744.96-34571.1-42834+31476.14+19139.6+226566.32-19139.6-193756+814.2+2490+1239+1982.4-60940.27-26019-14868-6525.6+91965.45+140538-140538-149940.02-54849.91+56630-56630-8040</f>
        <v>10623.810000000056</v>
      </c>
      <c r="L25" s="188">
        <f>109717.2-109717.2+6000+48933.9-48933.9+5062.2-5062.2+198607-198607+9996-9996+8330-8330+16660-16660+487991.49-487991.49+90440.84-90440.84+181075.95-181075.95+28813.52-28813.52+209410.48-209410.48+159768.91+379391.64-379391.64-159768.91+74465.01-74465.01+33240-33240+297039-297039+300628.6-300628.6+11030+11070+251096+35285.01+100000</f>
        <v>414481.01</v>
      </c>
    </row>
    <row r="26" spans="1:12" s="1" customFormat="1" ht="15.6" customHeight="1" x14ac:dyDescent="0.25">
      <c r="A26" s="183">
        <v>233</v>
      </c>
      <c r="B26" s="191" t="s">
        <v>81</v>
      </c>
      <c r="C26" s="184">
        <f t="shared" si="0"/>
        <v>268145.79000000004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92">
        <v>0</v>
      </c>
      <c r="J26" s="188">
        <v>0</v>
      </c>
      <c r="K26" s="188">
        <f>56640+17000-6844+94320.7+65071.81+43773.28+33500-11920-7160+82747.5+3296.45+1385.5+33276-33276+55577.25-11700+21948-21948-55577.25-91965.45+48636.9-48636.9+53664.3-53664.3+11800-11800+41461.3-41461.3</f>
        <v>268145.79000000004</v>
      </c>
      <c r="L26" s="188">
        <f>245440-245440+53725.05-53725.05+39579-39579+39579-39579+51899.85-51899.85+57548.25-57548.25+321054.4-321054.4</f>
        <v>0</v>
      </c>
    </row>
    <row r="27" spans="1:12" s="1" customFormat="1" x14ac:dyDescent="0.25">
      <c r="A27" s="183">
        <v>222</v>
      </c>
      <c r="B27" s="191" t="s">
        <v>89</v>
      </c>
      <c r="C27" s="184">
        <f t="shared" si="0"/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92">
        <v>0</v>
      </c>
      <c r="J27" s="188">
        <v>0</v>
      </c>
      <c r="K27" s="188"/>
      <c r="L27" s="188"/>
    </row>
    <row r="28" spans="1:12" s="1" customFormat="1" ht="15.6" customHeight="1" x14ac:dyDescent="0.25">
      <c r="A28" s="183">
        <v>2341</v>
      </c>
      <c r="B28" s="191" t="s">
        <v>79</v>
      </c>
      <c r="C28" s="184">
        <f t="shared" si="0"/>
        <v>1920022.0499999993</v>
      </c>
      <c r="D28" s="184">
        <v>87036.4</v>
      </c>
      <c r="E28" s="184">
        <v>0</v>
      </c>
      <c r="F28" s="184">
        <f>44000</f>
        <v>44000</v>
      </c>
      <c r="G28" s="184">
        <v>0</v>
      </c>
      <c r="H28" s="184">
        <v>0</v>
      </c>
      <c r="I28" s="192">
        <v>0</v>
      </c>
      <c r="J28" s="188">
        <f>524259.43+109743+252342.4+586505+227250+134370.1+613685.14+151900+56223.66+60700-102900-16875-90000-110830-50250-60700-14950-122100-105650+21621-5260+8860-8860-186036.23-45000-155875-106850-10833+9842-211700+117390-29800-109103.2-9842-45390.66-21621-16836.42-34934.49-269333.04-67000-71400-130900-227250-29395-188552.1-41800-16000-7515-96642</f>
        <v>56707.590000000637</v>
      </c>
      <c r="K28" s="188">
        <f>89000+15800+7000+52500+8950+125000+6085.6-29800+13578.6+18000+85000+29800+86000+125500+91970+80000+30000+63000+46975+40410+85500+44750+11250-181848+64231.77+44841.99+44407.4+31054+44700+11680+19463.2+36500+21777.98+12000+95920+9212+3000+24000+32000-30000-15800-59500+14940.6-13578.6-64231.77-6085.6-18000-44750-8950+43952-302970+26705+54000+5091+73000+21000+33500+115600+39950+13166.7-76930+14500+19000+12500+39515.13+37832+41772-157021.97-129410-208975-39950+50000+25484+7500+48100+37710+113386.26+84075+23125+103500+47200+62730.41+159536.4+194587.74+62600+120263.4+82917-115600-44700-36885.9+42916.8+21741.3+35164-45135-133010+38940-36911.4-75000+17000+51661.66+8344+34722+17559-95920-73000-18300+22800-92300-3600+146000+63814+188509.55+113318.5-108610.1-42008-44780-113908-237400-206054.05+53342+116756+6800+15600+132000+42000+24398.67-346730.58-165000-108600-134405-11250+70000-223284-301828.05+94151+100000+65212+16057.99+715949+28920+108250+91875+88350+116580+152570-107500+3628-116756-31469-113244+51642+163566+57925+84350+90000-146000-28920+39000+122723+48448-715949+109100-109100-266561.66-178130-108250+18000+180000+31609-91875-54321.3-23463.12-88350-94151-2085-90000-15600-171171-163566-63814+20758.1-39000+137729+22000+21500-21500-22000+157500-157500+106835-106835+130950-130950+36000-36000+63513-57925-180000-40020+87320-87320+67742.84-67742.84+382025-382025+77475-77475+24342.34-24342.34-6800-84350-31609-137729+6000-6000+241120.94-241120.94+2690.99-2690.99+91745-91745+112196.76-112196.76+748806-748806+123900-97343.79+155023.92-155023.92+24000-24000+15286.3-15286.3+78750-78750+100150+60400-123900-18000-28366.86</f>
        <v>-1.0331859812140465E-9</v>
      </c>
      <c r="L28" s="188">
        <f>60000+337425-337425+24526-24526+396100+65250+356610-356610+433675-433675+124800+4000-4000+150600-150600+196500-196500-63513-184800+200300-200300+149000-149000+314350-314350+45142-45142+150000-150000-60400+77748+165000-165000+86000-86000-396100-65250-71783.14+103740-103740+119835-119835+51110-51110+13280+30000+6960+30632.8-30632.8+145000-145000+78930+180000-180000+20000-20000+85000+72000+91425+130000+51110-51110+91348-91348+14443.2+88100-88100+475330-475330+129882-129882+101225-101225+73500+261180+42000+27500-27500+281148.84-281148.84+135350+21500-21500-92210-161375-17000-158500-30000+29000+524100+127500+617000+50900-50900+112000+251577.05-251577.05+17820-17820+60000-60000+123500-123500+226000-226000-130000-73500-86604-281500-524100-617000-29000+462585.82-462585.82+18075+70700+97500+7500+6726+15000+527884+563012+37760+144500+42590+29300+31500+15300</f>
        <v>1732278.0599999998</v>
      </c>
    </row>
    <row r="29" spans="1:12" s="1" customFormat="1" ht="15.6" customHeight="1" x14ac:dyDescent="0.25">
      <c r="A29" s="183">
        <v>2393</v>
      </c>
      <c r="B29" s="191" t="s">
        <v>78</v>
      </c>
      <c r="C29" s="184">
        <f>SUM(D29:L29)</f>
        <v>858618.92551449977</v>
      </c>
      <c r="D29" s="184">
        <f>42240+123786-110000-80000+625243.25-183995.42-13076.05</f>
        <v>404197.77999999997</v>
      </c>
      <c r="E29" s="184">
        <v>135016.78</v>
      </c>
      <c r="F29" s="184">
        <v>5664</v>
      </c>
      <c r="G29" s="184">
        <v>0</v>
      </c>
      <c r="H29" s="184">
        <v>0</v>
      </c>
      <c r="I29" s="192">
        <v>22656</v>
      </c>
      <c r="J29" s="188">
        <v>0</v>
      </c>
      <c r="K29" s="188">
        <f>99098.15+72914.25+38601+16250+23500+1800+2100+38207.01+2100+8235+11375.2+76930+34929.95+61672+69266+4495+5250+12980+30090+15930+15803.9944+21451+89331.84+19470-25025.65+8842.79+71626-3157.89+37789.5+21059.98+42008+84218.96+33484.1+44580.25-34929.95+19656.09+61644+30564.12+67241.53+9204+14419.98+123110-283970.09+133502.16+44958-4495-5250-7472.5+8000-11000-33000-15000-30090-15930-33484.1-12204-178522.4-71182.81-11375+50386+3186+20237+11446+54988+63740.5+29854+8850+19434.6+44409.9+2665+4400+12300-14277-29854-278954.96+6700-20500-20237-82600-54988-21059.98-46722.17-59453.29+11700-35520.12+4265+18408+41300+17759+130633.92-563080.83-93692+125987.58+111310+20502.89+40020+4560+8968+13800+117874.5+35962.47-6865-214922.75-130633.92-25539.66-30300-3138.8-4377.8-98250+48108+70328+3174.2+7700+4130+34338-100287.52+85515.49+26196+112566+5000+100026.96-112566-200791.5+132435.36+12885.6+271227.4+54321.3+152326.8+12000+69710.37+25758+56498.4+722395.66-7700+71390+68260+488678.78-17392.01+113901-161051.59444-20502.89-53721.47+201000-170354.96+23463.12+18300-17000-132435.36+280785.4-280785.4-271227.4-71390-488678.78-338906.8+113901-113901+68606.68+61950-56498.4-152570-69710.37-722395.66-17611.5044455-85515.49-25758-23482+2100-6865+93887.63-93887.63-201000+16103.64-16103.64-61950+7103.6-7103.6+18585-18585+43920+741453+123251-123251+67260-67260+235823-235823+164659.56-164659.56+25193-399775.96</f>
        <v>-4.4855002779513597E-3</v>
      </c>
      <c r="L29" s="188">
        <f>106756-106756+24342.34-24342.34+43920-43920+40259.1-40259.1+22338.3-22338.3+575480-575480+13314+7103.6+62776-62776+23866.4-23866.4-150000+193732.4-193732.4+40259.1-40259.1+80004-80004-13314+7103.6-7103.6+33061-33061+106835-106835+4148.05+43920-43920-150000+14823.75-14823.75+142308-142308+142308-142308+42480+32213.92-32213.92-4148.05+20001-20001+439390.7-439390.7+96982.83-96982.83+546833-546833+27612-27612+57596.98-57596.98+343329.79-343329.79+241144.8-241144.8-42480+456260-456260+683114.2-683114.2+222423.2-222423.2+48396+50756-50756+375150-375150+70888-70888+225000-225000+232578-232578+159100-159100+42480-42480+72258-72258+1410-1410+554541-554541+659520.24-659520.24+48396-48396-48396+57000-57000+257476-257476+49088-49088+21476-21476+118236-118236+62510-62510+482289.6-482289.6+6663.12-6663.12+849777.19-849777.19+55338-55338+85205.44-85205.44+57000-57000+108553.2+56592.8-56592.8+242910.7-242910+13711.6-13711.6+80033.5-80033.5+116870-116870+209691.37-209691.37+147106.44-147106.44+136549.6+28910+125718-125718+57600-57600+234048-234048+124820.4-124820.4-108553.2+33942.7-33942.7-81448.4+83240.02-83240.02+62400-62400+89795-89795+153220.65+51471.6+31399.94+153220.65+110656.03</f>
        <v>291084.37000000011</v>
      </c>
    </row>
    <row r="30" spans="1:12" s="1" customFormat="1" x14ac:dyDescent="0.25">
      <c r="A30" s="183">
        <v>2372</v>
      </c>
      <c r="B30" s="191" t="s">
        <v>95</v>
      </c>
      <c r="C30" s="184">
        <f>SUM(D30:L30)</f>
        <v>482719.64440000046</v>
      </c>
      <c r="D30" s="184">
        <v>0</v>
      </c>
      <c r="E30" s="184">
        <v>0</v>
      </c>
      <c r="F30" s="184">
        <f>147968.25-21358.39-77715.45</f>
        <v>48894.41</v>
      </c>
      <c r="G30" s="184">
        <v>0</v>
      </c>
      <c r="H30" s="184">
        <v>0</v>
      </c>
      <c r="I30" s="192">
        <v>0</v>
      </c>
      <c r="J30" s="188">
        <f>518089.28+278235.66-55409.96-203881.51-195268.99-13850.84-21754.48-99867.65-42234.8-40731.87-20174</f>
        <v>103150.83999999997</v>
      </c>
      <c r="K30" s="188">
        <f>85648.74-160+6592.66+79328.54+63000+98747.03+3750+4345+101729.5+71051.27+150155.2+73629.8+33415.24+2730+99024.54+140570.47+19492.42+30436.69-278120.46+68224.1844+2720.14-200234.33-31845+86489.03+149154.56-38207.01+96686-229277.7-3540-120263.4+126152.8+115311.03-96686-187805.17+145369.8+101729.5-254058.26-139839.05-480-141176.31-68224.18-40236-145369.8+89799.95+61789.16+380334.69+486875+4978+114286-12885.6-89799.95-66767.16+204672.49+371273.79+20174+396731-102598-486875+224754.74+50152.72+20758.1-20758.1-699293.18-392031.89+379750.59+204672.49-204672.49-621485.74+40046.5-76626.28+245370.45-50152.72-245370.45+22886.1-22886.1-40046.52-68606.68-282406.8+156877.4-156877.4+314044.99+403515.8-403515.8+165076.7-165076.7+271534.03-271534.03+385443.48-385443.48-130049.57</f>
        <v>4.4000003254041076E-3</v>
      </c>
      <c r="L30" s="188">
        <f>58168.3-58168.3+149392.62-149392.62+277225.66-277225.66+262587.63-262587.63+397602.18+262587.64-262587.64+448893.18-448893.18-397602.18+270804.31-270804.31+53454.2-53454.2+53454.2-53454.2+160464.8-160464.8+84298.1-84298.1+194546.03-194546.03+370526.03-370526.03-14823.75+65233.92-65233.92+349970.52-349970.52+123014.92-123014.92+369045.1+236267.37+168538.74-168538.74+418538.73+240235-290291.7-240235-150000+400098.62-400098.62+32497.2-50000+673862.71-673862.71+293889.6-654806.1+28814.76+53400-272531.21+323125.39+7549</f>
        <v>330674.39000000019</v>
      </c>
    </row>
    <row r="31" spans="1:12" s="1" customFormat="1" ht="15.6" customHeight="1" x14ac:dyDescent="0.25">
      <c r="A31" s="183"/>
      <c r="B31" s="191" t="s">
        <v>26</v>
      </c>
      <c r="C31" s="184">
        <f t="shared" si="0"/>
        <v>3263531.5</v>
      </c>
      <c r="D31" s="184">
        <v>0</v>
      </c>
      <c r="E31" s="184">
        <v>0</v>
      </c>
      <c r="F31" s="184">
        <v>0</v>
      </c>
      <c r="G31" s="184">
        <v>115708.4</v>
      </c>
      <c r="H31" s="184">
        <v>0</v>
      </c>
      <c r="I31" s="192">
        <f>91040.43+19588.27</f>
        <v>110628.7</v>
      </c>
      <c r="J31" s="188">
        <f>23722.72+2841819.4+38350-38450+41058.27-321323.48+4340.04-314264.39-77715.45-353624.33-251744.98+44221.97+61587.4-205291.34-61587.4-61587.4-61587.4-64751.1-61587.4+41150.78+41150.78+294404.64-28062.76+41058.27-312155.27+61587.4-61587.4+65805.67-65805.67-42268.62-61726.17-42268.62-85655.07</f>
        <v>1027213.0899999999</v>
      </c>
      <c r="K31" s="188">
        <f>66197.52+66573.03+65079.68+63961.84+85655.07+226329.29-226329.29+3469.2+6071.1+42268.62+41150.78-41150.78+42268.62+82301.56+61726.17+2428.44-82301.56-82301.56+82301.56+41150.78+82301.56+61726.17-61726.17+41150.78-281269.62+41150.78+84537.23+83419.4+41150.78+41150.78-41150.78+3642.66-3642.66+2428.44+61726.17-65805.67+41150.78+61726.17+2428.44+65079.68-65079.68+82301.56+2428.44-2428.44+4856.88-4856.88-44221.97-66197.52+41150.78-41150.78+42268.62-42268.62+89899.58+41150.78-41150.78-22383.23+82301.58+3642.66-3642.66+41150.78-41150.78-268597.91+102876.95+61726.17+17464+18408+35382+82301.56+61726.17+61726.17+5782+103994.79+82301.56+3642.66+46739.97+62844.01+44504.29+61726.17+41150.78-41150.78+42268.62+7285.32-22896.72+43386.45+84537.23-71164+255832.33+65552.3+43701.53+65552.3+115275.32+87403.07-690166.25-61726.17-82301.56+2428.44</f>
        <v>1334162.08</v>
      </c>
      <c r="L31" s="188">
        <f>300000-300000+300000-300000+300000-300000+300000-300000+300000-300000+300000-300000+300000+300000+160912.9-300000+21850.77+21850.77-300000+21850.77+24259.37+6206.42+23055.07+26667.95+300000+300000-300000+23055.07+24259.37+21850.77</f>
        <v>675819.23</v>
      </c>
    </row>
    <row r="32" spans="1:12" s="1" customFormat="1" ht="15.6" customHeight="1" x14ac:dyDescent="0.25">
      <c r="A32" s="183">
        <v>2355</v>
      </c>
      <c r="B32" s="182" t="s">
        <v>80</v>
      </c>
      <c r="C32" s="184">
        <f t="shared" si="0"/>
        <v>320394.99</v>
      </c>
      <c r="D32" s="184">
        <v>0</v>
      </c>
      <c r="E32" s="184">
        <v>0</v>
      </c>
      <c r="F32" s="184">
        <v>0</v>
      </c>
      <c r="G32" s="184">
        <v>0</v>
      </c>
      <c r="H32" s="184">
        <v>0</v>
      </c>
      <c r="I32" s="192">
        <v>0</v>
      </c>
      <c r="J32" s="188">
        <v>0</v>
      </c>
      <c r="K32" s="188">
        <f>1500+80+40+140+80+150+500+500+750+225+90+210+120+35+2880+7500+10320+7500+3250+12600+12600+1200+600+1350+22935+34560+14680+23130-54345.02+7560+33680-6420+4000+7200+2160+180+6000+5400-55965.9+32080.51+25260-42060+22510+34835+9100+1875+5500+15480+200+180+3240-56955+11210+9115.5+4725.9-65575-25051.4+313795-313795+77834-77834</f>
        <v>94644.590000000026</v>
      </c>
      <c r="L32" s="188">
        <f>116248-116248+48530-48530+85425-85425+74460-74460+60315+136604-60315+54930+6372-136549.6-54930+161368+57956</f>
        <v>225750.39999999999</v>
      </c>
    </row>
    <row r="33" spans="1:12" s="158" customFormat="1" ht="15.6" customHeight="1" x14ac:dyDescent="0.25">
      <c r="A33" s="190">
        <v>2371.0100000000002</v>
      </c>
      <c r="B33" s="191" t="s">
        <v>22</v>
      </c>
      <c r="C33" s="184">
        <f t="shared" si="0"/>
        <v>0</v>
      </c>
      <c r="D33" s="184">
        <v>0</v>
      </c>
      <c r="E33" s="184">
        <v>0</v>
      </c>
      <c r="F33" s="184">
        <v>0</v>
      </c>
      <c r="G33" s="188">
        <v>0</v>
      </c>
      <c r="H33" s="184">
        <v>0</v>
      </c>
      <c r="I33" s="192">
        <v>0</v>
      </c>
      <c r="J33" s="188">
        <v>0</v>
      </c>
      <c r="K33" s="188"/>
      <c r="L33" s="188"/>
    </row>
    <row r="34" spans="1:12" s="158" customFormat="1" ht="15.6" customHeight="1" x14ac:dyDescent="0.25">
      <c r="A34" s="190">
        <v>2371.02</v>
      </c>
      <c r="B34" s="191" t="s">
        <v>23</v>
      </c>
      <c r="C34" s="184">
        <f t="shared" si="0"/>
        <v>286413</v>
      </c>
      <c r="D34" s="184">
        <v>0</v>
      </c>
      <c r="E34" s="188">
        <v>0</v>
      </c>
      <c r="F34" s="188">
        <v>0</v>
      </c>
      <c r="G34" s="188">
        <v>0</v>
      </c>
      <c r="H34" s="188">
        <v>0</v>
      </c>
      <c r="I34" s="192">
        <v>0</v>
      </c>
      <c r="J34" s="188">
        <v>0</v>
      </c>
      <c r="K34" s="188">
        <f>185900+194700-185900-194700+209102-209102+196050+234300-196050+256600-234300-256600+243500-243500+236100-236100</f>
        <v>0</v>
      </c>
      <c r="L34" s="188">
        <f>197900-197900+287721.01-287721.01+189300-189300+246550-246550+287000-287000+406398-406398+286413</f>
        <v>286413</v>
      </c>
    </row>
    <row r="35" spans="1:12" s="158" customFormat="1" ht="15.6" customHeight="1" x14ac:dyDescent="0.25">
      <c r="A35" s="190">
        <v>2371.04</v>
      </c>
      <c r="B35" s="191" t="s">
        <v>24</v>
      </c>
      <c r="C35" s="184">
        <f t="shared" si="0"/>
        <v>106457.36</v>
      </c>
      <c r="D35" s="184">
        <v>0</v>
      </c>
      <c r="E35" s="188">
        <v>59883.28</v>
      </c>
      <c r="F35" s="188">
        <v>0</v>
      </c>
      <c r="G35" s="188">
        <v>0</v>
      </c>
      <c r="H35" s="188">
        <v>0</v>
      </c>
      <c r="I35" s="192">
        <v>0</v>
      </c>
      <c r="J35" s="188">
        <f>51340.28-51340.28</f>
        <v>0</v>
      </c>
      <c r="K35" s="188">
        <f>35986.54-35986.54</f>
        <v>0</v>
      </c>
      <c r="L35" s="188">
        <f>48893.26-48893.26+28520-28520+43212.08-43212.08+41426.5-41426.5+46574.08</f>
        <v>46574.080000000002</v>
      </c>
    </row>
    <row r="36" spans="1:12" s="1" customFormat="1" ht="15.6" customHeight="1" x14ac:dyDescent="0.25">
      <c r="A36" s="183">
        <v>2371.0500000000002</v>
      </c>
      <c r="B36" s="182" t="s">
        <v>88</v>
      </c>
      <c r="C36" s="184">
        <f t="shared" si="0"/>
        <v>0</v>
      </c>
      <c r="D36" s="184">
        <v>0</v>
      </c>
      <c r="E36" s="188">
        <v>0</v>
      </c>
      <c r="F36" s="188">
        <v>0</v>
      </c>
      <c r="G36" s="188">
        <v>0</v>
      </c>
      <c r="H36" s="188">
        <v>0</v>
      </c>
      <c r="I36" s="192">
        <v>0</v>
      </c>
      <c r="J36" s="188">
        <v>0</v>
      </c>
      <c r="K36" s="188"/>
      <c r="L36" s="188"/>
    </row>
    <row r="37" spans="1:12" s="1" customFormat="1" ht="15.6" customHeight="1" x14ac:dyDescent="0.25">
      <c r="A37" s="183">
        <v>2371.06</v>
      </c>
      <c r="B37" s="182" t="s">
        <v>87</v>
      </c>
      <c r="C37" s="184">
        <f t="shared" si="0"/>
        <v>0</v>
      </c>
      <c r="D37" s="184">
        <v>0</v>
      </c>
      <c r="E37" s="188">
        <v>0</v>
      </c>
      <c r="F37" s="188">
        <v>0</v>
      </c>
      <c r="G37" s="188">
        <v>0</v>
      </c>
      <c r="H37" s="188">
        <v>0</v>
      </c>
      <c r="I37" s="192">
        <v>0</v>
      </c>
      <c r="J37" s="188">
        <v>0</v>
      </c>
      <c r="K37" s="188"/>
      <c r="L37" s="188"/>
    </row>
    <row r="38" spans="1:12" s="1" customFormat="1" ht="15.6" customHeight="1" x14ac:dyDescent="0.25">
      <c r="A38" s="183">
        <v>2391</v>
      </c>
      <c r="B38" s="182" t="s">
        <v>82</v>
      </c>
      <c r="C38" s="184">
        <f>SUM(D38:L38)</f>
        <v>259090.19000000003</v>
      </c>
      <c r="D38" s="184">
        <v>0</v>
      </c>
      <c r="E38" s="188">
        <v>0</v>
      </c>
      <c r="F38" s="188">
        <v>91403.98</v>
      </c>
      <c r="G38" s="188">
        <v>43860.6</v>
      </c>
      <c r="H38" s="188">
        <v>0</v>
      </c>
      <c r="I38" s="192">
        <v>0</v>
      </c>
      <c r="J38" s="188">
        <v>0</v>
      </c>
      <c r="K38" s="188">
        <f>1400+260+2040+10080+28425+7120+1281.6-28425+11100+26190+21025+43800+270-27116.4-44143.8+311.19+26784+270+624+39906-10878+33550+40050-20223-37500+250+2280-8900.39-40050-5340-7160-5352-950-950-270+31616.69+17611.5+29452.8+22125+26019+177+14868-4210-51754.8+5400-5400+215335-215335+81625-81625-24358.26</f>
        <v>121305.13000000002</v>
      </c>
      <c r="L38" s="188">
        <f>133130-133130+91065-91065+123975-123975+160180-160180+220425-220425+2520.48+18840-18840</f>
        <v>2520.4799999999996</v>
      </c>
    </row>
    <row r="39" spans="1:12" s="1" customFormat="1" ht="15.6" customHeight="1" x14ac:dyDescent="0.25">
      <c r="A39" s="183">
        <v>261</v>
      </c>
      <c r="B39" s="182" t="s">
        <v>85</v>
      </c>
      <c r="C39" s="184">
        <f t="shared" si="0"/>
        <v>278.47500000004948</v>
      </c>
      <c r="D39" s="184">
        <v>0</v>
      </c>
      <c r="E39" s="188">
        <v>0</v>
      </c>
      <c r="F39" s="188">
        <v>0</v>
      </c>
      <c r="G39" s="188">
        <v>0</v>
      </c>
      <c r="H39" s="188">
        <v>0</v>
      </c>
      <c r="I39" s="192">
        <v>0</v>
      </c>
      <c r="J39" s="188">
        <f>36725-36725</f>
        <v>0</v>
      </c>
      <c r="K39" s="188">
        <f>21799.99+155430+28999.99-39279.54-6616.76+16500-21799.99-127000+49992-54360+32794.56-34195+10529.305+435000+79488.37-32794.56-435000-79488.37</f>
        <v>-4.999999946448952E-3</v>
      </c>
      <c r="L39" s="188">
        <f>260500-260500+89650-89650+28952.48+63000-28674-63000</f>
        <v>278.47999999999593</v>
      </c>
    </row>
    <row r="40" spans="1:12" s="1" customFormat="1" x14ac:dyDescent="0.25">
      <c r="A40" s="183">
        <v>2631</v>
      </c>
      <c r="B40" s="182" t="s">
        <v>83</v>
      </c>
      <c r="C40" s="184">
        <f>SUM(D40:L40)</f>
        <v>0</v>
      </c>
      <c r="D40" s="184">
        <v>0</v>
      </c>
      <c r="E40" s="188">
        <v>0</v>
      </c>
      <c r="F40" s="188">
        <v>0</v>
      </c>
      <c r="G40" s="188">
        <v>0</v>
      </c>
      <c r="H40" s="188">
        <v>0</v>
      </c>
      <c r="I40" s="192">
        <v>0</v>
      </c>
      <c r="J40" s="188">
        <v>0</v>
      </c>
      <c r="K40" s="188">
        <f>17186.46+22892-43084.46+17392.01+11300+196588+23482-108640.01+82364-219480</f>
        <v>0</v>
      </c>
      <c r="L40" s="188">
        <f>15000-15000+75000-75000+385478.65-385478.65+23600-23600</f>
        <v>0</v>
      </c>
    </row>
    <row r="41" spans="1:12" s="1" customFormat="1" ht="15.6" customHeight="1" x14ac:dyDescent="0.25">
      <c r="A41" s="183">
        <v>2632</v>
      </c>
      <c r="B41" s="182" t="s">
        <v>84</v>
      </c>
      <c r="C41" s="184">
        <f>SUM(D41:L41)</f>
        <v>141786</v>
      </c>
      <c r="D41" s="184">
        <v>51212</v>
      </c>
      <c r="E41" s="188">
        <v>0</v>
      </c>
      <c r="F41" s="188">
        <v>0</v>
      </c>
      <c r="G41" s="188">
        <v>0</v>
      </c>
      <c r="H41" s="188">
        <v>0</v>
      </c>
      <c r="I41" s="192">
        <v>0</v>
      </c>
      <c r="J41" s="188">
        <v>0</v>
      </c>
      <c r="K41" s="188"/>
      <c r="L41" s="188">
        <f>34600+27300+28674</f>
        <v>90574</v>
      </c>
    </row>
    <row r="42" spans="1:12" ht="15.6" customHeight="1" x14ac:dyDescent="0.25">
      <c r="A42" s="199"/>
      <c r="B42" s="197" t="s">
        <v>148</v>
      </c>
      <c r="C42" s="198">
        <f>SUM(C8:C41)</f>
        <v>9685834.1549144983</v>
      </c>
      <c r="D42" s="198">
        <f t="shared" ref="D42:J42" si="1">SUM(D8:D41)</f>
        <v>649131.17999999993</v>
      </c>
      <c r="E42" s="198">
        <f t="shared" si="1"/>
        <v>221540.06</v>
      </c>
      <c r="F42" s="198">
        <f t="shared" si="1"/>
        <v>349138.39</v>
      </c>
      <c r="G42" s="198">
        <f t="shared" si="1"/>
        <v>316634</v>
      </c>
      <c r="H42" s="198">
        <f t="shared" si="1"/>
        <v>0</v>
      </c>
      <c r="I42" s="198">
        <f t="shared" si="1"/>
        <v>133284.70000000001</v>
      </c>
      <c r="J42" s="198">
        <f t="shared" si="1"/>
        <v>1322929.2100000004</v>
      </c>
      <c r="K42" s="198">
        <f>SUM(K8:K41)</f>
        <v>1912199.3449144994</v>
      </c>
      <c r="L42" s="198">
        <f>SUM(L8:L41)</f>
        <v>4780977.2700000014</v>
      </c>
    </row>
    <row r="43" spans="1:12" ht="15.6" customHeight="1" x14ac:dyDescent="0.25">
      <c r="A43" s="185"/>
      <c r="B43" s="182" t="s">
        <v>149</v>
      </c>
      <c r="C43" s="184">
        <f>+D43+E43+F43+G43+H43+I43+J43+K43+L43</f>
        <v>693660.18439999991</v>
      </c>
      <c r="D43" s="184">
        <v>0</v>
      </c>
      <c r="E43" s="184">
        <v>0</v>
      </c>
      <c r="F43" s="186">
        <v>0</v>
      </c>
      <c r="G43" s="186">
        <v>0</v>
      </c>
      <c r="H43" s="186">
        <v>0</v>
      </c>
      <c r="I43" s="193">
        <f>43159.68+33230.6944</f>
        <v>76390.374400000001</v>
      </c>
      <c r="J43" s="193">
        <f>6500+1500+3200+140+75+1300+225+50+1400+60+570+6000+6000-6000+61360+107361.98+2000+21240+13125-6000-6000-107361.98+5900+38435+50985.44-13125+4200+64278.85+87371.5-136880-18892.5-100816.37-65071.81</f>
        <v>23130.110000000044</v>
      </c>
      <c r="K43" s="193">
        <f>17680.5+4500-4500+2520+4346+3500+4800+6900-6900+6390+3360+40180.42-4000+27000+6338+6571+39276.06+200+9581.6+5002-65626.5+160+265+138.3+2100+6000-9860.08-21925+2665+6824+39800+11210-5002+2337+2100-120-29500-350-6500+46500+5000+3500+6000+6000+6000+14042-37800-18000+35735.12+6000+38940+54849.91+108640.01+45344.92-90261.5-11210-170888.54-6602+4601-9001-41705.44-38940+66000-66000+6000+6000-45344.92-13484+6000+6000-6000-6000-6000-11376.86</f>
        <v>-5.8207660913467407E-11</v>
      </c>
      <c r="L43" s="193">
        <f>64232-64232+6000-6000+14160-14160+50004.45-50004.45+6000-6000+106495-106495+6000-6000+6000+14400-14400+14400-14400+4400-4400+197060-197060+146733-146733+61283.7-61283.7+389449.56-389449.56+10500-10500+52419.8-52419.8+6000-12000+18500-18500+59550.3-59550.3+15000+20414+62824.05+18500+278480+49843.2+37760+30000+7500+73818.45</f>
        <v>594139.69999999995</v>
      </c>
    </row>
    <row r="44" spans="1:12" ht="15.6" customHeight="1" x14ac:dyDescent="0.25">
      <c r="A44" s="301" t="s">
        <v>150</v>
      </c>
      <c r="B44" s="301"/>
      <c r="C44" s="198">
        <f>SUM(C42:C43)</f>
        <v>10379494.339314498</v>
      </c>
      <c r="D44" s="198">
        <f t="shared" ref="D44:J44" si="2">SUM(D42:D43)</f>
        <v>649131.17999999993</v>
      </c>
      <c r="E44" s="198">
        <f t="shared" si="2"/>
        <v>221540.06</v>
      </c>
      <c r="F44" s="198">
        <f t="shared" si="2"/>
        <v>349138.39</v>
      </c>
      <c r="G44" s="198">
        <f t="shared" si="2"/>
        <v>316634</v>
      </c>
      <c r="H44" s="198">
        <f t="shared" si="2"/>
        <v>0</v>
      </c>
      <c r="I44" s="198">
        <f t="shared" si="2"/>
        <v>209675.07440000001</v>
      </c>
      <c r="J44" s="198">
        <f t="shared" si="2"/>
        <v>1346059.3200000005</v>
      </c>
      <c r="K44" s="198">
        <f>SUM(K42:K43)</f>
        <v>1912199.3449144994</v>
      </c>
      <c r="L44" s="198">
        <f>SUM(L42:L43)</f>
        <v>5375116.9700000016</v>
      </c>
    </row>
    <row r="45" spans="1:12" x14ac:dyDescent="0.25">
      <c r="A45" s="300"/>
      <c r="B45" s="300"/>
      <c r="C45" s="180"/>
      <c r="D45" s="180"/>
      <c r="E45" s="181"/>
      <c r="F45" s="180"/>
      <c r="G45" s="180"/>
      <c r="H45" s="187"/>
      <c r="I45" s="181"/>
      <c r="K45" s="181"/>
      <c r="L45" s="180"/>
    </row>
    <row r="46" spans="1:12" ht="15.6" customHeight="1" x14ac:dyDescent="0.25">
      <c r="A46" s="179"/>
      <c r="B46" s="179"/>
      <c r="C46" s="181"/>
      <c r="D46" s="181"/>
      <c r="E46" s="181"/>
      <c r="F46" s="180"/>
      <c r="G46" s="159"/>
      <c r="H46" s="187"/>
      <c r="I46" s="181"/>
      <c r="K46" s="181"/>
      <c r="L46" s="180"/>
    </row>
    <row r="47" spans="1:12" ht="15.6" customHeight="1" x14ac:dyDescent="0.25">
      <c r="A47" s="300"/>
      <c r="B47" s="300"/>
      <c r="C47" s="181"/>
      <c r="D47" s="181"/>
      <c r="E47" s="180"/>
      <c r="F47" s="180"/>
      <c r="G47" s="180"/>
      <c r="H47" s="187"/>
      <c r="I47" s="181"/>
      <c r="K47" s="181"/>
      <c r="L47" s="180"/>
    </row>
    <row r="48" spans="1:12" ht="15.6" customHeight="1" x14ac:dyDescent="0.25">
      <c r="A48" s="298"/>
      <c r="B48" s="298"/>
      <c r="C48" s="180"/>
      <c r="D48" s="180"/>
      <c r="E48" s="180"/>
      <c r="F48" s="180"/>
      <c r="G48" s="180"/>
      <c r="H48" s="187"/>
      <c r="I48" s="181"/>
      <c r="K48" s="181"/>
      <c r="L48" s="180"/>
    </row>
    <row r="49" spans="1:12" ht="15.6" customHeight="1" x14ac:dyDescent="0.25">
      <c r="A49" s="297" t="s">
        <v>210</v>
      </c>
      <c r="B49" s="297"/>
      <c r="C49" s="180"/>
      <c r="D49" s="180"/>
      <c r="E49" s="297" t="s">
        <v>223</v>
      </c>
      <c r="F49" s="297"/>
      <c r="G49" s="297"/>
      <c r="H49" s="187"/>
      <c r="I49" s="181"/>
      <c r="K49" s="181"/>
      <c r="L49" s="180"/>
    </row>
    <row r="50" spans="1:12" ht="15.6" customHeight="1" x14ac:dyDescent="0.25">
      <c r="A50" s="298"/>
      <c r="B50" s="298"/>
      <c r="C50" s="180"/>
      <c r="D50" s="180"/>
      <c r="E50" s="180"/>
      <c r="F50" s="180"/>
      <c r="G50" s="180"/>
      <c r="H50" s="187"/>
      <c r="I50" s="181"/>
      <c r="K50" s="181"/>
      <c r="L50" s="180"/>
    </row>
    <row r="51" spans="1:12" ht="15.6" customHeight="1" x14ac:dyDescent="0.25">
      <c r="A51" s="298"/>
      <c r="B51" s="298"/>
      <c r="C51" s="180"/>
      <c r="D51" s="180"/>
      <c r="E51" s="180"/>
      <c r="F51" s="180"/>
      <c r="G51" s="180"/>
      <c r="H51" s="187"/>
      <c r="I51" s="181"/>
      <c r="K51" s="181"/>
      <c r="L51" s="180"/>
    </row>
    <row r="52" spans="1:12" ht="15.6" customHeight="1" x14ac:dyDescent="0.25">
      <c r="A52" s="298"/>
      <c r="B52" s="298"/>
      <c r="C52" s="180"/>
      <c r="D52" s="180"/>
      <c r="E52" s="180"/>
      <c r="F52" s="180"/>
      <c r="G52" s="180"/>
      <c r="H52" s="187"/>
      <c r="I52" s="181"/>
      <c r="K52" s="181"/>
      <c r="L52" s="180"/>
    </row>
    <row r="53" spans="1:12" ht="15.6" customHeight="1" x14ac:dyDescent="0.25">
      <c r="A53" s="299"/>
      <c r="B53" s="299"/>
      <c r="C53" s="180"/>
      <c r="D53" s="180"/>
      <c r="E53" s="180"/>
      <c r="F53" s="180"/>
      <c r="G53" s="180"/>
      <c r="H53" s="187"/>
      <c r="I53" s="181"/>
      <c r="K53" s="181"/>
      <c r="L53" s="180"/>
    </row>
    <row r="54" spans="1:12" ht="15.6" customHeight="1" x14ac:dyDescent="0.25">
      <c r="A54" s="299"/>
      <c r="B54" s="299"/>
      <c r="C54" s="180"/>
      <c r="D54" s="180"/>
      <c r="E54" s="180"/>
      <c r="F54" s="180"/>
      <c r="G54" s="180"/>
      <c r="H54" s="187"/>
      <c r="I54" s="181"/>
      <c r="K54" s="181"/>
      <c r="L54" s="180"/>
    </row>
    <row r="55" spans="1:12" ht="15.6" customHeight="1" x14ac:dyDescent="0.25">
      <c r="A55" s="296"/>
      <c r="B55" s="296"/>
      <c r="C55" s="180"/>
      <c r="D55" s="180"/>
      <c r="E55" s="180"/>
      <c r="F55" s="180"/>
      <c r="G55" s="180"/>
      <c r="H55" s="187"/>
      <c r="I55" s="181"/>
      <c r="K55" s="181"/>
      <c r="L55" s="180"/>
    </row>
    <row r="56" spans="1:12" x14ac:dyDescent="0.25">
      <c r="A56" s="180"/>
      <c r="B56" s="180"/>
      <c r="C56" s="180"/>
      <c r="D56" s="180"/>
      <c r="E56" s="180"/>
      <c r="F56" s="180"/>
      <c r="G56" s="180"/>
      <c r="H56" s="187"/>
      <c r="I56" s="181"/>
      <c r="K56" s="181"/>
      <c r="L56" s="180"/>
    </row>
    <row r="57" spans="1:12" x14ac:dyDescent="0.25">
      <c r="A57" s="180"/>
      <c r="B57" s="180"/>
      <c r="C57" s="180"/>
      <c r="D57" s="180"/>
      <c r="E57" s="180"/>
      <c r="F57" s="180"/>
      <c r="G57" s="180"/>
      <c r="H57" s="187"/>
      <c r="I57" s="181"/>
      <c r="K57" s="181"/>
      <c r="L57" s="180"/>
    </row>
    <row r="58" spans="1:12" x14ac:dyDescent="0.25">
      <c r="A58" s="180"/>
      <c r="B58" s="180"/>
      <c r="C58" s="180"/>
      <c r="D58" s="180"/>
      <c r="E58" s="180"/>
      <c r="F58" s="180"/>
      <c r="G58" s="180"/>
      <c r="H58" s="187"/>
      <c r="I58" s="181"/>
      <c r="K58" s="181"/>
      <c r="L58" s="180"/>
    </row>
    <row r="59" spans="1:12" x14ac:dyDescent="0.25">
      <c r="G59" s="106"/>
      <c r="H59" s="154"/>
      <c r="K59" s="136"/>
    </row>
    <row r="60" spans="1:12" x14ac:dyDescent="0.25">
      <c r="G60" s="106"/>
      <c r="H60" s="154"/>
      <c r="K60" s="136"/>
    </row>
    <row r="61" spans="1:12" x14ac:dyDescent="0.25">
      <c r="G61" s="106"/>
      <c r="H61" s="154"/>
      <c r="K61" s="136"/>
    </row>
    <row r="62" spans="1:12" x14ac:dyDescent="0.25">
      <c r="G62" s="106"/>
      <c r="H62" s="154"/>
      <c r="K62" s="136"/>
    </row>
    <row r="63" spans="1:12" x14ac:dyDescent="0.25">
      <c r="G63" s="106"/>
      <c r="H63" s="154"/>
      <c r="K63" s="136"/>
    </row>
    <row r="64" spans="1:12" x14ac:dyDescent="0.25">
      <c r="G64" s="106"/>
      <c r="H64" s="154"/>
      <c r="K64" s="136"/>
    </row>
    <row r="65" spans="7:11" x14ac:dyDescent="0.25">
      <c r="G65" s="106"/>
      <c r="H65" s="154"/>
      <c r="K65" s="136"/>
    </row>
    <row r="66" spans="7:11" x14ac:dyDescent="0.25">
      <c r="G66" s="106"/>
      <c r="H66" s="154"/>
      <c r="K66" s="136"/>
    </row>
  </sheetData>
  <mergeCells count="16">
    <mergeCell ref="A2:I2"/>
    <mergeCell ref="A3:I3"/>
    <mergeCell ref="A4:I4"/>
    <mergeCell ref="A5:I5"/>
    <mergeCell ref="A44:B44"/>
    <mergeCell ref="A45:B45"/>
    <mergeCell ref="A48:B48"/>
    <mergeCell ref="A49:B49"/>
    <mergeCell ref="A50:B50"/>
    <mergeCell ref="A47:B47"/>
    <mergeCell ref="A55:B55"/>
    <mergeCell ref="E49:G49"/>
    <mergeCell ref="A52:B52"/>
    <mergeCell ref="A53:B53"/>
    <mergeCell ref="A54:B54"/>
    <mergeCell ref="A51:B51"/>
  </mergeCells>
  <pageMargins left="0.25" right="0.25" top="0.75" bottom="0.75" header="0.3" footer="0.3"/>
  <pageSetup paperSize="5" scale="7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3"/>
  <sheetViews>
    <sheetView showGridLines="0" topLeftCell="B147" zoomScale="85" zoomScaleNormal="85" workbookViewId="0">
      <selection activeCell="L72" sqref="L72"/>
    </sheetView>
  </sheetViews>
  <sheetFormatPr baseColWidth="10" defaultRowHeight="15" x14ac:dyDescent="0.25"/>
  <cols>
    <col min="1" max="1" width="48.7109375" customWidth="1"/>
    <col min="2" max="2" width="15.85546875" customWidth="1"/>
    <col min="3" max="3" width="19.42578125" customWidth="1"/>
    <col min="4" max="4" width="20.85546875" customWidth="1"/>
    <col min="5" max="5" width="14.28515625" customWidth="1"/>
    <col min="6" max="6" width="13.85546875" customWidth="1"/>
    <col min="7" max="7" width="14.85546875" customWidth="1"/>
    <col min="8" max="9" width="15.5703125" customWidth="1"/>
    <col min="10" max="10" width="16.5703125" customWidth="1"/>
    <col min="11" max="11" width="17" customWidth="1"/>
    <col min="12" max="12" width="18.140625" customWidth="1"/>
  </cols>
  <sheetData>
    <row r="1" spans="1:12" s="2" customFormat="1" ht="22.9" customHeight="1" x14ac:dyDescent="0.3">
      <c r="A1" s="304" t="s">
        <v>105</v>
      </c>
      <c r="B1" s="304"/>
      <c r="C1" s="304"/>
      <c r="D1" s="304"/>
      <c r="E1" s="304"/>
      <c r="F1" s="304"/>
      <c r="G1" s="304"/>
      <c r="H1" s="304"/>
      <c r="I1" s="304"/>
      <c r="J1" s="304"/>
      <c r="K1" s="200"/>
      <c r="L1" s="200"/>
    </row>
    <row r="2" spans="1:12" s="2" customFormat="1" ht="15.75" customHeight="1" x14ac:dyDescent="0.25">
      <c r="A2" s="305" t="s">
        <v>122</v>
      </c>
      <c r="B2" s="305"/>
      <c r="C2" s="305"/>
      <c r="D2" s="305"/>
      <c r="E2" s="305"/>
      <c r="F2" s="305"/>
      <c r="G2" s="305"/>
      <c r="H2" s="305"/>
      <c r="I2" s="305"/>
      <c r="J2" s="305"/>
      <c r="K2" s="200"/>
      <c r="L2" s="200"/>
    </row>
    <row r="3" spans="1:12" s="2" customFormat="1" ht="15.75" customHeight="1" x14ac:dyDescent="0.25">
      <c r="A3" s="305" t="s">
        <v>174</v>
      </c>
      <c r="B3" s="305"/>
      <c r="C3" s="305"/>
      <c r="D3" s="305"/>
      <c r="E3" s="305"/>
      <c r="F3" s="305"/>
      <c r="G3" s="305"/>
      <c r="H3" s="305"/>
      <c r="I3" s="305"/>
      <c r="J3" s="305"/>
      <c r="K3" s="200"/>
      <c r="L3" s="200"/>
    </row>
    <row r="4" spans="1:12" s="2" customFormat="1" x14ac:dyDescent="0.25">
      <c r="A4" s="305" t="s">
        <v>310</v>
      </c>
      <c r="B4" s="305"/>
      <c r="C4" s="305"/>
      <c r="D4" s="305"/>
      <c r="E4" s="305"/>
      <c r="F4" s="305"/>
      <c r="G4" s="305"/>
      <c r="H4" s="305"/>
      <c r="I4" s="305"/>
      <c r="J4" s="305"/>
      <c r="K4" s="200"/>
      <c r="L4" s="200"/>
    </row>
    <row r="5" spans="1:12" s="2" customFormat="1" ht="15.6" customHeight="1" x14ac:dyDescent="0.25">
      <c r="A5" s="306" t="s">
        <v>142</v>
      </c>
      <c r="B5" s="306"/>
      <c r="C5" s="306"/>
      <c r="D5" s="306"/>
      <c r="E5" s="306"/>
      <c r="F5" s="306"/>
      <c r="G5" s="306"/>
      <c r="H5" s="212"/>
      <c r="I5" s="201"/>
      <c r="J5" s="213"/>
      <c r="K5" s="194">
        <v>45899</v>
      </c>
      <c r="L5" s="200"/>
    </row>
    <row r="6" spans="1:12" s="2" customFormat="1" ht="15.6" customHeight="1" x14ac:dyDescent="0.25">
      <c r="A6" s="220" t="s">
        <v>143</v>
      </c>
      <c r="B6" s="220" t="s">
        <v>92</v>
      </c>
      <c r="C6" s="221" t="s">
        <v>144</v>
      </c>
      <c r="D6" s="221">
        <v>2017</v>
      </c>
      <c r="E6" s="220">
        <v>2018</v>
      </c>
      <c r="F6" s="220">
        <v>2019</v>
      </c>
      <c r="G6" s="220">
        <v>2020</v>
      </c>
      <c r="H6" s="220">
        <v>2021</v>
      </c>
      <c r="I6" s="220">
        <v>2022</v>
      </c>
      <c r="J6" s="220">
        <v>2023</v>
      </c>
      <c r="K6" s="222">
        <v>2024</v>
      </c>
      <c r="L6" s="222">
        <v>2025</v>
      </c>
    </row>
    <row r="7" spans="1:12" s="2" customFormat="1" ht="13.9" customHeight="1" x14ac:dyDescent="0.25">
      <c r="A7" s="251" t="s">
        <v>175</v>
      </c>
      <c r="B7" s="214" t="s">
        <v>92</v>
      </c>
      <c r="C7" s="215">
        <f>SUM(D7:L7)</f>
        <v>471750</v>
      </c>
      <c r="D7" s="208">
        <v>0</v>
      </c>
      <c r="E7" s="206">
        <v>0</v>
      </c>
      <c r="F7" s="206">
        <v>316785</v>
      </c>
      <c r="G7" s="206">
        <v>154965</v>
      </c>
      <c r="H7" s="208">
        <v>0</v>
      </c>
      <c r="I7" s="208">
        <v>0</v>
      </c>
      <c r="J7" s="208"/>
      <c r="K7" s="211"/>
      <c r="L7" s="211"/>
    </row>
    <row r="8" spans="1:12" s="2" customFormat="1" ht="13.9" customHeight="1" x14ac:dyDescent="0.25">
      <c r="A8" s="252" t="s">
        <v>176</v>
      </c>
      <c r="B8" s="214" t="s">
        <v>92</v>
      </c>
      <c r="C8" s="215">
        <f t="shared" ref="C8:C71" si="0">SUM(D8:L8)</f>
        <v>128775.71999999999</v>
      </c>
      <c r="D8" s="208">
        <v>0</v>
      </c>
      <c r="E8" s="206">
        <v>0</v>
      </c>
      <c r="F8" s="206">
        <v>0</v>
      </c>
      <c r="G8" s="206">
        <v>115708.4</v>
      </c>
      <c r="H8" s="208">
        <v>0</v>
      </c>
      <c r="I8" s="208">
        <v>5782</v>
      </c>
      <c r="J8" s="208">
        <f>28062.76-28062.76</f>
        <v>0</v>
      </c>
      <c r="K8" s="211">
        <f>35038.92+7285.32-7285.32-22896.72+2428.44-2428.44-4856.88</f>
        <v>7285.319999999997</v>
      </c>
      <c r="L8" s="211"/>
    </row>
    <row r="9" spans="1:12" s="2" customFormat="1" ht="13.9" customHeight="1" x14ac:dyDescent="0.25">
      <c r="A9" s="251" t="s">
        <v>177</v>
      </c>
      <c r="B9" s="214" t="s">
        <v>92</v>
      </c>
      <c r="C9" s="215">
        <f t="shared" si="0"/>
        <v>135264.57999999999</v>
      </c>
      <c r="D9" s="208">
        <v>0</v>
      </c>
      <c r="E9" s="206">
        <v>0</v>
      </c>
      <c r="F9" s="206">
        <v>91403.98</v>
      </c>
      <c r="G9" s="206">
        <v>43860.6</v>
      </c>
      <c r="H9" s="208">
        <v>0</v>
      </c>
      <c r="I9" s="208">
        <v>0</v>
      </c>
      <c r="J9" s="208"/>
      <c r="K9" s="211"/>
      <c r="L9" s="211"/>
    </row>
    <row r="10" spans="1:12" s="2" customFormat="1" ht="13.9" customHeight="1" x14ac:dyDescent="0.25">
      <c r="A10" s="251" t="s">
        <v>233</v>
      </c>
      <c r="B10" s="214" t="s">
        <v>92</v>
      </c>
      <c r="C10" s="215">
        <f t="shared" si="0"/>
        <v>42240</v>
      </c>
      <c r="D10" s="208">
        <v>42240</v>
      </c>
      <c r="E10" s="206">
        <v>0</v>
      </c>
      <c r="F10" s="206">
        <v>0</v>
      </c>
      <c r="G10" s="206">
        <v>0</v>
      </c>
      <c r="H10" s="208">
        <v>0</v>
      </c>
      <c r="I10" s="208">
        <v>0</v>
      </c>
      <c r="J10" s="208"/>
      <c r="K10" s="211"/>
      <c r="L10" s="211"/>
    </row>
    <row r="11" spans="1:12" s="2" customFormat="1" ht="13.9" customHeight="1" x14ac:dyDescent="0.25">
      <c r="A11" s="251" t="s">
        <v>178</v>
      </c>
      <c r="B11" s="214" t="s">
        <v>92</v>
      </c>
      <c r="C11" s="215">
        <f t="shared" si="0"/>
        <v>123786</v>
      </c>
      <c r="D11" s="208">
        <v>123786</v>
      </c>
      <c r="E11" s="206">
        <v>0</v>
      </c>
      <c r="F11" s="206">
        <v>0</v>
      </c>
      <c r="G11" s="206">
        <v>0</v>
      </c>
      <c r="H11" s="208">
        <v>0</v>
      </c>
      <c r="I11" s="208">
        <v>0</v>
      </c>
      <c r="J11" s="208"/>
      <c r="K11" s="211"/>
      <c r="L11" s="211"/>
    </row>
    <row r="12" spans="1:12" s="2" customFormat="1" ht="13.9" customHeight="1" x14ac:dyDescent="0.25">
      <c r="A12" s="251" t="s">
        <v>179</v>
      </c>
      <c r="B12" s="214" t="s">
        <v>92</v>
      </c>
      <c r="C12" s="215">
        <f t="shared" si="0"/>
        <v>87036.4</v>
      </c>
      <c r="D12" s="208">
        <v>87036.4</v>
      </c>
      <c r="E12" s="206">
        <v>0</v>
      </c>
      <c r="F12" s="206">
        <v>0</v>
      </c>
      <c r="G12" s="206">
        <v>0</v>
      </c>
      <c r="H12" s="208">
        <v>0</v>
      </c>
      <c r="I12" s="208">
        <v>0</v>
      </c>
      <c r="J12" s="208"/>
      <c r="K12" s="211"/>
      <c r="L12" s="211"/>
    </row>
    <row r="13" spans="1:12" s="2" customFormat="1" ht="13.9" customHeight="1" x14ac:dyDescent="0.25">
      <c r="A13" s="251" t="s">
        <v>180</v>
      </c>
      <c r="B13" s="214" t="s">
        <v>92</v>
      </c>
      <c r="C13" s="215">
        <f t="shared" si="0"/>
        <v>51212</v>
      </c>
      <c r="D13" s="208">
        <v>51212</v>
      </c>
      <c r="E13" s="206">
        <v>0</v>
      </c>
      <c r="F13" s="206">
        <v>0</v>
      </c>
      <c r="G13" s="206">
        <v>0</v>
      </c>
      <c r="H13" s="208">
        <v>0</v>
      </c>
      <c r="I13" s="208">
        <v>0</v>
      </c>
      <c r="J13" s="208"/>
      <c r="K13" s="211"/>
      <c r="L13" s="211"/>
    </row>
    <row r="14" spans="1:12" s="2" customFormat="1" ht="13.9" customHeight="1" x14ac:dyDescent="0.25">
      <c r="A14" s="253" t="s">
        <v>181</v>
      </c>
      <c r="B14" s="214" t="s">
        <v>92</v>
      </c>
      <c r="C14" s="215">
        <f t="shared" si="0"/>
        <v>625243.25</v>
      </c>
      <c r="D14" s="208">
        <v>625243.25</v>
      </c>
      <c r="E14" s="206">
        <v>0</v>
      </c>
      <c r="F14" s="206">
        <v>0</v>
      </c>
      <c r="G14" s="206">
        <v>0</v>
      </c>
      <c r="H14" s="208">
        <v>0</v>
      </c>
      <c r="I14" s="208">
        <v>0</v>
      </c>
      <c r="J14" s="208"/>
      <c r="K14" s="211"/>
      <c r="L14" s="211"/>
    </row>
    <row r="15" spans="1:12" s="2" customFormat="1" ht="13.9" customHeight="1" x14ac:dyDescent="0.25">
      <c r="A15" s="253" t="s">
        <v>182</v>
      </c>
      <c r="B15" s="214" t="s">
        <v>92</v>
      </c>
      <c r="C15" s="215">
        <f t="shared" si="0"/>
        <v>32630</v>
      </c>
      <c r="D15" s="208">
        <v>7390</v>
      </c>
      <c r="E15" s="206">
        <v>25240</v>
      </c>
      <c r="F15" s="206">
        <v>0</v>
      </c>
      <c r="G15" s="206">
        <v>0</v>
      </c>
      <c r="H15" s="208">
        <v>0</v>
      </c>
      <c r="I15" s="208">
        <v>0</v>
      </c>
      <c r="J15" s="208"/>
      <c r="K15" s="211"/>
      <c r="L15" s="211"/>
    </row>
    <row r="16" spans="1:12" s="2" customFormat="1" ht="13.9" customHeight="1" x14ac:dyDescent="0.25">
      <c r="A16" s="254" t="s">
        <v>183</v>
      </c>
      <c r="B16" s="214" t="s">
        <v>92</v>
      </c>
      <c r="C16" s="215">
        <f t="shared" si="0"/>
        <v>45215</v>
      </c>
      <c r="D16" s="208">
        <v>45215</v>
      </c>
      <c r="E16" s="206">
        <v>0</v>
      </c>
      <c r="F16" s="206">
        <v>0</v>
      </c>
      <c r="G16" s="206">
        <v>0</v>
      </c>
      <c r="H16" s="208">
        <v>0</v>
      </c>
      <c r="I16" s="208">
        <v>0</v>
      </c>
      <c r="J16" s="208"/>
      <c r="K16" s="211"/>
      <c r="L16" s="211"/>
    </row>
    <row r="17" spans="1:12" s="2" customFormat="1" ht="13.9" customHeight="1" x14ac:dyDescent="0.25">
      <c r="A17" s="216" t="s">
        <v>184</v>
      </c>
      <c r="B17" s="214" t="s">
        <v>92</v>
      </c>
      <c r="C17" s="215">
        <f t="shared" si="0"/>
        <v>147968.25</v>
      </c>
      <c r="D17" s="208">
        <v>0</v>
      </c>
      <c r="E17" s="206">
        <v>0</v>
      </c>
      <c r="F17" s="206">
        <v>147968.25</v>
      </c>
      <c r="G17" s="206">
        <v>0</v>
      </c>
      <c r="H17" s="208">
        <v>0</v>
      </c>
      <c r="I17" s="208">
        <v>0</v>
      </c>
      <c r="J17" s="208"/>
      <c r="K17" s="211"/>
      <c r="L17" s="211"/>
    </row>
    <row r="18" spans="1:12" s="2" customFormat="1" ht="13.9" customHeight="1" x14ac:dyDescent="0.25">
      <c r="A18" s="216" t="s">
        <v>185</v>
      </c>
      <c r="B18" s="214" t="s">
        <v>92</v>
      </c>
      <c r="C18" s="215">
        <f t="shared" si="0"/>
        <v>59883.28</v>
      </c>
      <c r="D18" s="208">
        <v>0</v>
      </c>
      <c r="E18" s="206">
        <v>59883.28</v>
      </c>
      <c r="F18" s="206">
        <v>0</v>
      </c>
      <c r="G18" s="206">
        <v>0</v>
      </c>
      <c r="H18" s="208">
        <v>0</v>
      </c>
      <c r="I18" s="208">
        <v>0</v>
      </c>
      <c r="J18" s="208"/>
      <c r="K18" s="211"/>
      <c r="L18" s="211"/>
    </row>
    <row r="19" spans="1:12" s="2" customFormat="1" ht="13.9" customHeight="1" x14ac:dyDescent="0.25">
      <c r="A19" s="216" t="s">
        <v>186</v>
      </c>
      <c r="B19" s="214" t="s">
        <v>92</v>
      </c>
      <c r="C19" s="215">
        <f t="shared" si="0"/>
        <v>135016.78</v>
      </c>
      <c r="D19" s="208">
        <v>0</v>
      </c>
      <c r="E19" s="206">
        <v>135016.78</v>
      </c>
      <c r="F19" s="206">
        <v>0</v>
      </c>
      <c r="G19" s="206">
        <v>0</v>
      </c>
      <c r="H19" s="208">
        <v>0</v>
      </c>
      <c r="I19" s="208">
        <v>0</v>
      </c>
      <c r="J19" s="208"/>
      <c r="K19" s="211"/>
      <c r="L19" s="211"/>
    </row>
    <row r="20" spans="1:12" s="2" customFormat="1" ht="13.9" customHeight="1" x14ac:dyDescent="0.25">
      <c r="A20" s="216" t="s">
        <v>187</v>
      </c>
      <c r="B20" s="214" t="s">
        <v>92</v>
      </c>
      <c r="C20" s="215">
        <f t="shared" si="0"/>
        <v>1400</v>
      </c>
      <c r="D20" s="208">
        <v>0</v>
      </c>
      <c r="E20" s="206">
        <v>1400</v>
      </c>
      <c r="F20" s="206">
        <v>0</v>
      </c>
      <c r="G20" s="206">
        <v>0</v>
      </c>
      <c r="H20" s="208">
        <v>0</v>
      </c>
      <c r="I20" s="208">
        <v>0</v>
      </c>
      <c r="J20" s="208"/>
      <c r="K20" s="211"/>
      <c r="L20" s="211"/>
    </row>
    <row r="21" spans="1:12" s="2" customFormat="1" ht="13.9" customHeight="1" x14ac:dyDescent="0.25">
      <c r="A21" s="216" t="s">
        <v>188</v>
      </c>
      <c r="B21" s="214" t="s">
        <v>92</v>
      </c>
      <c r="C21" s="215">
        <f t="shared" si="0"/>
        <v>44000</v>
      </c>
      <c r="D21" s="208">
        <v>0</v>
      </c>
      <c r="E21" s="206">
        <v>0</v>
      </c>
      <c r="F21" s="206">
        <v>44000</v>
      </c>
      <c r="G21" s="206">
        <v>0</v>
      </c>
      <c r="H21" s="208">
        <v>0</v>
      </c>
      <c r="I21" s="208">
        <v>0</v>
      </c>
      <c r="J21" s="208"/>
      <c r="K21" s="211"/>
      <c r="L21" s="211"/>
    </row>
    <row r="22" spans="1:12" s="2" customFormat="1" ht="13.9" customHeight="1" x14ac:dyDescent="0.25">
      <c r="A22" s="216" t="s">
        <v>189</v>
      </c>
      <c r="B22" s="214" t="s">
        <v>92</v>
      </c>
      <c r="C22" s="215">
        <f t="shared" si="0"/>
        <v>22840</v>
      </c>
      <c r="D22" s="208">
        <v>0</v>
      </c>
      <c r="E22" s="206">
        <v>0</v>
      </c>
      <c r="F22" s="206">
        <v>0</v>
      </c>
      <c r="G22" s="206">
        <v>22840</v>
      </c>
      <c r="H22" s="208">
        <v>0</v>
      </c>
      <c r="I22" s="208">
        <v>0</v>
      </c>
      <c r="J22" s="208"/>
      <c r="K22" s="211"/>
      <c r="L22" s="211"/>
    </row>
    <row r="23" spans="1:12" s="2" customFormat="1" ht="13.9" customHeight="1" x14ac:dyDescent="0.25">
      <c r="A23" s="216" t="s">
        <v>190</v>
      </c>
      <c r="B23" s="214" t="s">
        <v>92</v>
      </c>
      <c r="C23" s="215">
        <f t="shared" si="0"/>
        <v>5664</v>
      </c>
      <c r="D23" s="208">
        <v>0</v>
      </c>
      <c r="E23" s="206">
        <v>0</v>
      </c>
      <c r="F23" s="206">
        <v>5664</v>
      </c>
      <c r="G23" s="206">
        <v>0</v>
      </c>
      <c r="H23" s="208">
        <v>0</v>
      </c>
      <c r="I23" s="208">
        <v>0</v>
      </c>
      <c r="J23" s="208"/>
      <c r="K23" s="211"/>
      <c r="L23" s="211"/>
    </row>
    <row r="24" spans="1:12" s="2" customFormat="1" ht="13.9" customHeight="1" x14ac:dyDescent="0.25">
      <c r="A24" s="216" t="s">
        <v>191</v>
      </c>
      <c r="B24" s="214" t="s">
        <v>92</v>
      </c>
      <c r="C24" s="215">
        <f t="shared" si="0"/>
        <v>120200</v>
      </c>
      <c r="D24" s="208">
        <v>0</v>
      </c>
      <c r="E24" s="206">
        <v>0</v>
      </c>
      <c r="F24" s="206">
        <v>120200</v>
      </c>
      <c r="G24" s="206">
        <v>0</v>
      </c>
      <c r="H24" s="208">
        <v>0</v>
      </c>
      <c r="I24" s="208">
        <v>0</v>
      </c>
      <c r="J24" s="208"/>
      <c r="K24" s="211"/>
      <c r="L24" s="211"/>
    </row>
    <row r="25" spans="1:12" s="2" customFormat="1" ht="13.9" customHeight="1" x14ac:dyDescent="0.25">
      <c r="A25" s="216" t="s">
        <v>192</v>
      </c>
      <c r="B25" s="214" t="s">
        <v>92</v>
      </c>
      <c r="C25" s="215">
        <f t="shared" si="0"/>
        <v>55530</v>
      </c>
      <c r="D25" s="208">
        <v>53450</v>
      </c>
      <c r="E25" s="206">
        <v>0</v>
      </c>
      <c r="F25" s="206">
        <v>2080</v>
      </c>
      <c r="G25" s="206">
        <v>0</v>
      </c>
      <c r="H25" s="208">
        <v>0</v>
      </c>
      <c r="I25" s="208">
        <v>0</v>
      </c>
      <c r="J25" s="208"/>
      <c r="K25" s="211"/>
      <c r="L25" s="211"/>
    </row>
    <row r="26" spans="1:12" s="2" customFormat="1" ht="13.9" customHeight="1" x14ac:dyDescent="0.25">
      <c r="A26" s="216" t="s">
        <v>193</v>
      </c>
      <c r="B26" s="214" t="s">
        <v>92</v>
      </c>
      <c r="C26" s="215">
        <f t="shared" si="0"/>
        <v>0</v>
      </c>
      <c r="D26" s="215">
        <v>0</v>
      </c>
      <c r="E26" s="206">
        <v>0</v>
      </c>
      <c r="F26" s="206">
        <v>0</v>
      </c>
      <c r="G26" s="206">
        <v>0</v>
      </c>
      <c r="H26" s="208">
        <v>0</v>
      </c>
      <c r="I26" s="208">
        <v>0</v>
      </c>
      <c r="J26" s="208"/>
      <c r="K26" s="211"/>
      <c r="L26" s="211"/>
    </row>
    <row r="27" spans="1:12" s="2" customFormat="1" ht="15.6" customHeight="1" x14ac:dyDescent="0.25">
      <c r="A27" s="216" t="s">
        <v>194</v>
      </c>
      <c r="B27" s="214" t="s">
        <v>92</v>
      </c>
      <c r="C27" s="215">
        <f t="shared" si="0"/>
        <v>2934864.4699999997</v>
      </c>
      <c r="D27" s="208">
        <v>0</v>
      </c>
      <c r="E27" s="206">
        <v>0</v>
      </c>
      <c r="F27" s="206">
        <v>0</v>
      </c>
      <c r="G27" s="206">
        <v>0</v>
      </c>
      <c r="H27" s="208">
        <v>0</v>
      </c>
      <c r="I27" s="208">
        <f>91040.43+19588.27</f>
        <v>110628.7</v>
      </c>
      <c r="J27" s="208">
        <f>2561554.19-314264.39-353624.33-251744.98+44221.97+61587.4-205291.34-61587.4-61587.4-61587.4-44221.97-64751.1-61587.4+294404.64+41058.27-312155.27-65079.68+61587.4-61587.4+65805.67-65805.67-42268.62-61726.17-42268.62-85655.07</f>
        <v>913425.32999999961</v>
      </c>
      <c r="K27" s="211">
        <f>66197.52+66573.03+65079.68-65079.68+63961.84+226329.29-226329.29+85655.07+42268.62+41150.78-41150.78+42268.62+82301.56-82301.56+61726.17+82301.56-82301.56+41150.78-41150.78+82301.56+61726.17+41150.78-281269.62+41150.78+84537.23+83419.4+41150.78+41150.78+61726.17-65805.67+41150.78+61726.17+65079.68+82301.56-66197.52+41150.78+42268.62+89899.58+41150.78+82301.58+41150.78-41150.78-268597.91+102876.95+61726.17-61726.17+82301.56+41150.78-41150.78+41150.78-41150.78+61726.17+61726.17+103994.79+82301.56+46739.97+62844.01+44504.29+41150.78-41150.78+61726.17+42268.62-42268.62+84537.23+43386.45+255832.33+65552.3+65552.3+43701.53+115275.32+87403.07-625086.57-61726.17-82301.56</f>
        <v>1534991.2000000002</v>
      </c>
      <c r="L27" s="211">
        <f>160912.9+21850.77+21850.77+24259.37+6206.42+26667.95+23055.07+21850.77+23055.08+24259.37+21850.77</f>
        <v>375819.24000000005</v>
      </c>
    </row>
    <row r="28" spans="1:12" s="2" customFormat="1" ht="15.6" customHeight="1" x14ac:dyDescent="0.25">
      <c r="A28" s="216" t="s">
        <v>204</v>
      </c>
      <c r="B28" s="214" t="s">
        <v>92</v>
      </c>
      <c r="C28" s="215">
        <f t="shared" si="0"/>
        <v>396940.15000000014</v>
      </c>
      <c r="D28" s="208">
        <v>0</v>
      </c>
      <c r="E28" s="206">
        <v>0</v>
      </c>
      <c r="F28" s="206">
        <v>0</v>
      </c>
      <c r="G28" s="206">
        <v>0</v>
      </c>
      <c r="H28" s="208">
        <v>0</v>
      </c>
      <c r="I28" s="208">
        <v>0</v>
      </c>
      <c r="J28" s="208">
        <v>0</v>
      </c>
      <c r="K28" s="211">
        <f>351720.58+98747.03+6592.66-94298.62-82950.72-83064.9+71051.27+101729.5+150155.2+99024.54-91406.34+19492.42+30436.69-278120.46+2720.14+245840.56-301828.99+128016.98+126152.8+115311.03-96686-128016.98+145369.8+101729.5+3174.2-254058.26-241463.83-145369.8+61789.16+114286+4978+380334.69-66767.16+204672.49+371273.79+20174+20758.1-699293.18-20174-392031.89+379750.59+204672.49-204672.49+20758.1-20758.1-379750.59+156877.4-156877.4+314044.99-314044.99</f>
        <v>0</v>
      </c>
      <c r="L28" s="211">
        <f>84298.1-84298.1+370526.03-370526.03+65233.92-65233.92+349970.52-349970.52+123014.92-123014.92+75000-75000+15000+369045.1+168538.74-168538.74+236267.37+418538.73-369045.1+400098.62-400098.62+15000-15000+673862.71-673862.71-654806.1+28814.76+323125.39+30000</f>
        <v>396940.15000000014</v>
      </c>
    </row>
    <row r="29" spans="1:12" s="2" customFormat="1" ht="15.6" customHeight="1" x14ac:dyDescent="0.25">
      <c r="A29" s="217" t="s">
        <v>195</v>
      </c>
      <c r="B29" s="214" t="s">
        <v>92</v>
      </c>
      <c r="C29" s="215">
        <f t="shared" si="0"/>
        <v>0</v>
      </c>
      <c r="D29" s="208">
        <v>0</v>
      </c>
      <c r="E29" s="206">
        <v>0</v>
      </c>
      <c r="F29" s="206">
        <v>0</v>
      </c>
      <c r="G29" s="206">
        <v>0</v>
      </c>
      <c r="H29" s="208">
        <v>0</v>
      </c>
      <c r="I29" s="208">
        <v>0</v>
      </c>
      <c r="J29" s="208">
        <v>0</v>
      </c>
      <c r="K29" s="211">
        <f>5091+39515.13+113386.26+51661.66-3600-206054.05</f>
        <v>0</v>
      </c>
      <c r="L29" s="211"/>
    </row>
    <row r="30" spans="1:12" s="2" customFormat="1" ht="15.75" x14ac:dyDescent="0.25">
      <c r="A30" s="217" t="s">
        <v>205</v>
      </c>
      <c r="B30" s="214" t="s">
        <v>92</v>
      </c>
      <c r="C30" s="215">
        <f t="shared" si="0"/>
        <v>435396.89999999991</v>
      </c>
      <c r="D30" s="208">
        <v>0</v>
      </c>
      <c r="E30" s="206">
        <v>0</v>
      </c>
      <c r="F30" s="206">
        <v>0</v>
      </c>
      <c r="G30" s="206">
        <v>0</v>
      </c>
      <c r="H30" s="208">
        <v>0</v>
      </c>
      <c r="I30" s="208">
        <v>0</v>
      </c>
      <c r="J30" s="208"/>
      <c r="K30" s="211">
        <f>122997.5+35935-158932.5+11100+26190+26645+22055+2499+7715+77772.5+28480+26269+23130-217871.5+28585+70535+33680+8750+43800+25635-211619+32530+-7715+36510+39906+81053+32615+22510-215634+80857+34835+34865+41800+34830+3240+81140-170817-192635+319195-319195+749006.18+130806.82-130806.82+77834-77834-749006.18</f>
        <v>3239.9999999998836</v>
      </c>
      <c r="L30" s="211">
        <f>116248-116248+176388.64+48530-48530+148115.7-148115.7+145355-145355+123975-123975-176388.64+85425-85425+186246-186246+74460-74460+181559-181559+104422.9+60315+184276.1+136604-164737.9+54930-375810.1+161368+212832.9+57956</f>
        <v>432156.9</v>
      </c>
    </row>
    <row r="31" spans="1:12" s="2" customFormat="1" ht="15.75" x14ac:dyDescent="0.25">
      <c r="A31" s="217" t="s">
        <v>196</v>
      </c>
      <c r="B31" s="214" t="s">
        <v>92</v>
      </c>
      <c r="C31" s="215">
        <f t="shared" si="0"/>
        <v>0</v>
      </c>
      <c r="D31" s="208">
        <v>0</v>
      </c>
      <c r="E31" s="206">
        <v>0</v>
      </c>
      <c r="F31" s="206">
        <v>0</v>
      </c>
      <c r="G31" s="206">
        <v>0</v>
      </c>
      <c r="H31" s="208">
        <v>0</v>
      </c>
      <c r="I31" s="208">
        <v>0</v>
      </c>
      <c r="J31" s="208">
        <f>109743-36911.4-72831.6</f>
        <v>0</v>
      </c>
      <c r="K31" s="211">
        <f>11250+23125+8344-11250-31469+77475-77475</f>
        <v>0</v>
      </c>
      <c r="L31" s="211">
        <f>251577.05-251577.05+17820-17820</f>
        <v>0</v>
      </c>
    </row>
    <row r="32" spans="1:12" s="2" customFormat="1" ht="15.75" x14ac:dyDescent="0.25">
      <c r="A32" s="218" t="s">
        <v>197</v>
      </c>
      <c r="B32" s="214" t="s">
        <v>92</v>
      </c>
      <c r="C32" s="215">
        <f t="shared" si="0"/>
        <v>0</v>
      </c>
      <c r="D32" s="208">
        <v>0</v>
      </c>
      <c r="E32" s="206">
        <v>0</v>
      </c>
      <c r="F32" s="206">
        <v>0</v>
      </c>
      <c r="G32" s="206">
        <v>0</v>
      </c>
      <c r="H32" s="208">
        <v>0</v>
      </c>
      <c r="I32" s="208">
        <v>0</v>
      </c>
      <c r="J32" s="208"/>
      <c r="K32" s="211">
        <f>103805+21770+13960+21545-125575+21545+14615+40200+21545+14680+50920+14525+22045+11480+21980+21775+13630+13430+21520+2685+21575+2000+21640+13925-213535-187685+13750+21775+15840+20915+17785+17685+5430-107750+12775+22375+12645+21695+21795+12830+33550+12290+22395+11210+9500+24060+40050+23370+14510+23820+15320+8335+23595+15645+2628-187025-152595+15295+23595-57163-31930+150545-150545+215335-215335+256442.5-256442.5+81625-81625</f>
        <v>0</v>
      </c>
      <c r="L32" s="211">
        <f>276820-276820+287865-287865+220425-220425+461870+244250-461870-244250+18840-18840+338395-338395</f>
        <v>0</v>
      </c>
    </row>
    <row r="33" spans="1:12" s="2" customFormat="1" ht="15.75" x14ac:dyDescent="0.25">
      <c r="A33" s="218" t="s">
        <v>198</v>
      </c>
      <c r="B33" s="214" t="s">
        <v>92</v>
      </c>
      <c r="C33" s="215">
        <f t="shared" si="0"/>
        <v>18075</v>
      </c>
      <c r="D33" s="208">
        <v>0</v>
      </c>
      <c r="E33" s="206">
        <v>0</v>
      </c>
      <c r="F33" s="206">
        <v>0</v>
      </c>
      <c r="G33" s="206">
        <v>0</v>
      </c>
      <c r="H33" s="208">
        <v>0</v>
      </c>
      <c r="I33" s="208">
        <v>0</v>
      </c>
      <c r="J33" s="208">
        <v>0</v>
      </c>
      <c r="K33" s="211">
        <f>20237+84075+103500-20237-45135+8968-151408+112566+70000-112566+152326.8+116580+57925-338906.8+21500-21500+36000-57925+87320+382025-382025+78750-78750-87320-36000</f>
        <v>0</v>
      </c>
      <c r="L33" s="211">
        <f>77748+23010-23010+123500-123500-77748+18075</f>
        <v>18075</v>
      </c>
    </row>
    <row r="34" spans="1:12" s="2" customFormat="1" ht="15.75" x14ac:dyDescent="0.25">
      <c r="A34" s="218" t="s">
        <v>199</v>
      </c>
      <c r="B34" s="214" t="s">
        <v>92</v>
      </c>
      <c r="C34" s="215">
        <f t="shared" si="0"/>
        <v>0</v>
      </c>
      <c r="D34" s="208">
        <v>0</v>
      </c>
      <c r="E34" s="206">
        <v>0</v>
      </c>
      <c r="F34" s="206">
        <v>0</v>
      </c>
      <c r="G34" s="206">
        <v>0</v>
      </c>
      <c r="H34" s="208">
        <v>0</v>
      </c>
      <c r="I34" s="208">
        <v>0</v>
      </c>
      <c r="J34" s="208">
        <f>275164.2-178522.2+35962.47-96642+85515.49-53721.47-67756.49</f>
        <v>0</v>
      </c>
      <c r="K34" s="211">
        <f>42008+82917+17759+117874.5-42008-200791.5+88350-106109</f>
        <v>0</v>
      </c>
      <c r="L34" s="211"/>
    </row>
    <row r="35" spans="1:12" s="2" customFormat="1" ht="15.75" x14ac:dyDescent="0.25">
      <c r="A35" s="216" t="s">
        <v>200</v>
      </c>
      <c r="B35" s="214" t="s">
        <v>92</v>
      </c>
      <c r="C35" s="215">
        <f t="shared" si="0"/>
        <v>0</v>
      </c>
      <c r="D35" s="208">
        <v>0</v>
      </c>
      <c r="E35" s="206">
        <v>0</v>
      </c>
      <c r="F35" s="206">
        <v>0</v>
      </c>
      <c r="G35" s="206">
        <v>0</v>
      </c>
      <c r="H35" s="208">
        <v>0</v>
      </c>
      <c r="I35" s="208">
        <v>0</v>
      </c>
      <c r="J35" s="208">
        <f>155875-155875</f>
        <v>0</v>
      </c>
      <c r="K35" s="211">
        <f>69804-69804+38940+48108+26196+715949-113244-715949</f>
        <v>0</v>
      </c>
      <c r="L35" s="211">
        <f>337425-337425+30632.8-30632.8+145000-145000+21500-21500</f>
        <v>0</v>
      </c>
    </row>
    <row r="36" spans="1:12" s="2" customFormat="1" ht="15.75" x14ac:dyDescent="0.25">
      <c r="A36" s="216" t="s">
        <v>234</v>
      </c>
      <c r="B36" s="214" t="s">
        <v>92</v>
      </c>
      <c r="C36" s="215">
        <f t="shared" si="0"/>
        <v>0</v>
      </c>
      <c r="D36" s="208">
        <v>0</v>
      </c>
      <c r="E36" s="206">
        <v>0</v>
      </c>
      <c r="F36" s="206">
        <v>0</v>
      </c>
      <c r="G36" s="206">
        <v>0</v>
      </c>
      <c r="H36" s="208">
        <v>0</v>
      </c>
      <c r="I36" s="208">
        <v>0</v>
      </c>
      <c r="J36" s="208">
        <v>0</v>
      </c>
      <c r="K36" s="211">
        <f>87371.5+17680+2520+39920+16450+9950+34935+34245-208826.5+37280+48555+33830+9610+44690+16000+45395-153910-115695+101875-101875</f>
        <v>0</v>
      </c>
      <c r="L36" s="211">
        <f>841865-6175-835690</f>
        <v>0</v>
      </c>
    </row>
    <row r="37" spans="1:12" s="2" customFormat="1" ht="15.75" x14ac:dyDescent="0.25">
      <c r="A37" s="216" t="s">
        <v>201</v>
      </c>
      <c r="B37" s="214" t="s">
        <v>92</v>
      </c>
      <c r="C37" s="215">
        <f t="shared" si="0"/>
        <v>0</v>
      </c>
      <c r="D37" s="208">
        <v>0</v>
      </c>
      <c r="E37" s="206">
        <v>0</v>
      </c>
      <c r="F37" s="206">
        <v>0</v>
      </c>
      <c r="G37" s="206">
        <v>0</v>
      </c>
      <c r="H37" s="208">
        <v>0</v>
      </c>
      <c r="I37" s="208">
        <v>0</v>
      </c>
      <c r="J37" s="208">
        <f>51770.91-16836.42-34934.49</f>
        <v>0</v>
      </c>
      <c r="K37" s="211">
        <f>56498.4-56498.4</f>
        <v>0</v>
      </c>
      <c r="L37" s="211"/>
    </row>
    <row r="38" spans="1:12" s="2" customFormat="1" ht="15.75" x14ac:dyDescent="0.25">
      <c r="A38" s="216" t="s">
        <v>202</v>
      </c>
      <c r="B38" s="214" t="s">
        <v>92</v>
      </c>
      <c r="C38" s="215">
        <f t="shared" si="0"/>
        <v>22656</v>
      </c>
      <c r="D38" s="208">
        <v>0</v>
      </c>
      <c r="E38" s="206">
        <v>0</v>
      </c>
      <c r="F38" s="206">
        <v>0</v>
      </c>
      <c r="G38" s="206">
        <v>0</v>
      </c>
      <c r="H38" s="208">
        <v>0</v>
      </c>
      <c r="I38" s="208">
        <v>22656</v>
      </c>
      <c r="J38" s="208"/>
      <c r="K38" s="211"/>
      <c r="L38" s="211"/>
    </row>
    <row r="39" spans="1:12" s="2" customFormat="1" ht="15.75" x14ac:dyDescent="0.25">
      <c r="A39" s="216" t="s">
        <v>203</v>
      </c>
      <c r="B39" s="214" t="s">
        <v>92</v>
      </c>
      <c r="C39" s="215">
        <f t="shared" si="0"/>
        <v>0</v>
      </c>
      <c r="D39" s="208">
        <v>0</v>
      </c>
      <c r="E39" s="206">
        <v>0</v>
      </c>
      <c r="F39" s="206">
        <v>0</v>
      </c>
      <c r="G39" s="206">
        <v>0</v>
      </c>
      <c r="H39" s="208">
        <v>0</v>
      </c>
      <c r="I39" s="208">
        <v>0</v>
      </c>
      <c r="J39" s="208">
        <f>144880.4-93220+150450-51660.4-150450</f>
        <v>0</v>
      </c>
      <c r="K39" s="211">
        <f>80240+66080-146320+24780+28320+14160+126496-193756+140538-140538</f>
        <v>0</v>
      </c>
      <c r="L39" s="211">
        <f>245440-245440+321054.4-321054.4+300628.6-300628.6</f>
        <v>0</v>
      </c>
    </row>
    <row r="40" spans="1:12" s="2" customFormat="1" ht="15.75" x14ac:dyDescent="0.25">
      <c r="A40" s="216" t="s">
        <v>303</v>
      </c>
      <c r="B40" s="214" t="s">
        <v>92</v>
      </c>
      <c r="C40" s="215">
        <f t="shared" si="0"/>
        <v>286413</v>
      </c>
      <c r="D40" s="208">
        <v>0</v>
      </c>
      <c r="E40" s="206">
        <v>0</v>
      </c>
      <c r="F40" s="206">
        <v>0</v>
      </c>
      <c r="G40" s="206">
        <v>0</v>
      </c>
      <c r="H40" s="208">
        <v>0</v>
      </c>
      <c r="I40" s="208">
        <v>0</v>
      </c>
      <c r="J40" s="208"/>
      <c r="K40" s="211">
        <f>236100-236100</f>
        <v>0</v>
      </c>
      <c r="L40" s="211">
        <f>189300-189300+246550-246550+287000-287000+406398-406398+286413</f>
        <v>286413</v>
      </c>
    </row>
    <row r="41" spans="1:12" s="2" customFormat="1" ht="15.75" x14ac:dyDescent="0.25">
      <c r="A41" s="216" t="s">
        <v>206</v>
      </c>
      <c r="B41" s="214" t="s">
        <v>92</v>
      </c>
      <c r="C41" s="215">
        <f t="shared" si="0"/>
        <v>31500</v>
      </c>
      <c r="D41" s="208">
        <v>0</v>
      </c>
      <c r="E41" s="206">
        <v>0</v>
      </c>
      <c r="F41" s="206">
        <v>0</v>
      </c>
      <c r="G41" s="206">
        <v>0</v>
      </c>
      <c r="H41" s="208">
        <v>0</v>
      </c>
      <c r="I41" s="208">
        <v>0</v>
      </c>
      <c r="J41" s="208">
        <f>318550-106850-211700</f>
        <v>0</v>
      </c>
      <c r="K41" s="211">
        <f>125000+86000+91970+125500+46975+36500+95920-302970+73000+14500+19000+12500-208975+62600-95920-73000+146000+6800-108600+28920+84350-146000-28920+109100-109100-6800-84350</f>
        <v>0</v>
      </c>
      <c r="L41" s="211">
        <f>396100+65250+86000-86000-396100-65250+180000-180000+20000-20000+42000+127500+112000-281500+31500</f>
        <v>31500</v>
      </c>
    </row>
    <row r="42" spans="1:12" s="2" customFormat="1" ht="15.75" x14ac:dyDescent="0.25">
      <c r="A42" s="216" t="s">
        <v>235</v>
      </c>
      <c r="B42" s="214" t="s">
        <v>92</v>
      </c>
      <c r="C42" s="215">
        <f t="shared" si="0"/>
        <v>0</v>
      </c>
      <c r="D42" s="208">
        <v>0</v>
      </c>
      <c r="E42" s="206">
        <v>0</v>
      </c>
      <c r="F42" s="206">
        <v>0</v>
      </c>
      <c r="G42" s="206">
        <v>0</v>
      </c>
      <c r="H42" s="208">
        <v>0</v>
      </c>
      <c r="I42" s="208">
        <v>0</v>
      </c>
      <c r="J42" s="208">
        <v>0</v>
      </c>
      <c r="K42" s="211">
        <f>85000+80000+63000+24000+21000+50000+25484+17000+22800-165000-223284</f>
        <v>0</v>
      </c>
      <c r="L42" s="211"/>
    </row>
    <row r="43" spans="1:12" s="2" customFormat="1" ht="15.75" x14ac:dyDescent="0.25">
      <c r="A43" s="216" t="s">
        <v>207</v>
      </c>
      <c r="B43" s="214" t="s">
        <v>92</v>
      </c>
      <c r="C43" s="215">
        <f t="shared" si="0"/>
        <v>7.2759576141834259E-12</v>
      </c>
      <c r="D43" s="208">
        <v>0</v>
      </c>
      <c r="E43" s="206">
        <v>0</v>
      </c>
      <c r="F43" s="206">
        <v>0</v>
      </c>
      <c r="G43" s="206">
        <v>0</v>
      </c>
      <c r="H43" s="208">
        <v>0</v>
      </c>
      <c r="I43" s="208">
        <v>0</v>
      </c>
      <c r="J43" s="208">
        <f>134370.1-31860-19500-5750-22075.1-53100-2085</f>
        <v>7.2759576141834259E-12</v>
      </c>
      <c r="K43" s="211">
        <f>23482-23482</f>
        <v>0</v>
      </c>
      <c r="L43" s="211"/>
    </row>
    <row r="44" spans="1:12" s="2" customFormat="1" ht="15.75" x14ac:dyDescent="0.25">
      <c r="A44" s="210" t="s">
        <v>236</v>
      </c>
      <c r="B44" s="214" t="s">
        <v>92</v>
      </c>
      <c r="C44" s="215">
        <f t="shared" si="0"/>
        <v>-2.9103830456733704E-11</v>
      </c>
      <c r="D44" s="208">
        <v>0</v>
      </c>
      <c r="E44" s="206">
        <v>0</v>
      </c>
      <c r="F44" s="206">
        <v>0</v>
      </c>
      <c r="G44" s="206">
        <v>0</v>
      </c>
      <c r="H44" s="208">
        <v>0</v>
      </c>
      <c r="I44" s="208">
        <v>0</v>
      </c>
      <c r="J44" s="208">
        <v>0</v>
      </c>
      <c r="K44" s="211">
        <f>36495.7+104162.37+65445.9+102110.7+44950.48-308214.67+21966.96+75478.41+42681.1-185076.95+19139.6-19139.6</f>
        <v>-2.9103830456733704E-11</v>
      </c>
      <c r="L44" s="211"/>
    </row>
    <row r="45" spans="1:12" s="2" customFormat="1" ht="15.75" x14ac:dyDescent="0.25">
      <c r="A45" s="210" t="s">
        <v>253</v>
      </c>
      <c r="B45" s="214" t="s">
        <v>92</v>
      </c>
      <c r="C45" s="215">
        <f t="shared" si="0"/>
        <v>0</v>
      </c>
      <c r="D45" s="208">
        <v>0</v>
      </c>
      <c r="E45" s="206">
        <v>0</v>
      </c>
      <c r="F45" s="206">
        <v>0</v>
      </c>
      <c r="G45" s="206">
        <v>0</v>
      </c>
      <c r="H45" s="208">
        <v>0</v>
      </c>
      <c r="I45" s="208">
        <v>0</v>
      </c>
      <c r="J45" s="208">
        <f>448689-150202-291687-6800</f>
        <v>0</v>
      </c>
      <c r="K45" s="211">
        <f>89000+40410+85500+19470+11680+32000+29891+33500-129410+48100-85500-174641</f>
        <v>0</v>
      </c>
      <c r="L45" s="211"/>
    </row>
    <row r="46" spans="1:12" s="2" customFormat="1" ht="15.75" x14ac:dyDescent="0.25">
      <c r="A46" s="210" t="s">
        <v>260</v>
      </c>
      <c r="B46" s="214" t="s">
        <v>92</v>
      </c>
      <c r="C46" s="215">
        <f t="shared" si="0"/>
        <v>100000</v>
      </c>
      <c r="D46" s="208">
        <v>0</v>
      </c>
      <c r="E46" s="206">
        <v>0</v>
      </c>
      <c r="F46" s="206">
        <v>0</v>
      </c>
      <c r="G46" s="206">
        <v>0</v>
      </c>
      <c r="H46" s="208">
        <v>0</v>
      </c>
      <c r="I46" s="208">
        <v>0</v>
      </c>
      <c r="J46" s="208">
        <f>19370.01-19370.01</f>
        <v>0</v>
      </c>
      <c r="K46" s="211">
        <f>291969.9-154984.95+112587.51-136984.95+126000+144500.02+31270+18880+17105+21830+7080+160650+96390-400192.53+102660+30680+435000-438170-31270-435000+70000-70000+70000-70000</f>
        <v>0</v>
      </c>
      <c r="L46" s="211">
        <f>70000-70000+70000-70000+29660-29660+260500-260500+70000-70000+70000-70000+70000-70000+70000+70000-70000-70000+100000+63000-63000-100000+100000-100000+100000</f>
        <v>100000</v>
      </c>
    </row>
    <row r="47" spans="1:12" s="2" customFormat="1" ht="15.75" x14ac:dyDescent="0.25">
      <c r="A47" s="210" t="s">
        <v>208</v>
      </c>
      <c r="B47" s="214" t="s">
        <v>92</v>
      </c>
      <c r="C47" s="215">
        <f t="shared" si="0"/>
        <v>0</v>
      </c>
      <c r="D47" s="208">
        <v>0</v>
      </c>
      <c r="E47" s="206">
        <v>0</v>
      </c>
      <c r="F47" s="206">
        <v>0</v>
      </c>
      <c r="G47" s="206">
        <v>0</v>
      </c>
      <c r="H47" s="208">
        <v>0</v>
      </c>
      <c r="I47" s="208">
        <v>0</v>
      </c>
      <c r="J47" s="208">
        <v>0</v>
      </c>
      <c r="K47" s="211">
        <v>0</v>
      </c>
      <c r="L47" s="211"/>
    </row>
    <row r="48" spans="1:12" s="2" customFormat="1" ht="15.75" x14ac:dyDescent="0.25">
      <c r="A48" s="210" t="s">
        <v>237</v>
      </c>
      <c r="B48" s="214" t="s">
        <v>92</v>
      </c>
      <c r="C48" s="215">
        <f t="shared" si="0"/>
        <v>97500</v>
      </c>
      <c r="D48" s="208">
        <v>0</v>
      </c>
      <c r="E48" s="206">
        <v>0</v>
      </c>
      <c r="F48" s="206">
        <v>0</v>
      </c>
      <c r="G48" s="206">
        <v>0</v>
      </c>
      <c r="H48" s="208">
        <v>0</v>
      </c>
      <c r="I48" s="208">
        <v>0</v>
      </c>
      <c r="J48" s="208">
        <v>0</v>
      </c>
      <c r="K48" s="211"/>
      <c r="L48" s="211">
        <f>40259.1+22338.3+23866.4+40259.1+200300-200300+45142-45142+241144.8-241144.8+48396-48396+50756-40259.1-22338.3-23866.4-40259.1-50756+48396-48396+482289.6-482289.6+129882-129882+101225-101225+80033.5-80033.5+97500</f>
        <v>97500</v>
      </c>
    </row>
    <row r="49" spans="1:12" s="2" customFormat="1" ht="15.75" x14ac:dyDescent="0.25">
      <c r="A49" s="210" t="s">
        <v>209</v>
      </c>
      <c r="B49" s="214" t="s">
        <v>92</v>
      </c>
      <c r="C49" s="215">
        <f t="shared" si="0"/>
        <v>0</v>
      </c>
      <c r="D49" s="208">
        <v>0</v>
      </c>
      <c r="E49" s="206">
        <v>0</v>
      </c>
      <c r="F49" s="206">
        <v>0</v>
      </c>
      <c r="G49" s="206">
        <v>0</v>
      </c>
      <c r="H49" s="208">
        <v>0</v>
      </c>
      <c r="I49" s="208">
        <v>0</v>
      </c>
      <c r="J49" s="208">
        <f>65071.81+43773.28-50985.44-57859.65</f>
        <v>0</v>
      </c>
      <c r="K49" s="211">
        <f>225791.59+39276.06-104459.27+13565.28+19229.28+94320.7-39276.06-248447.58</f>
        <v>0</v>
      </c>
      <c r="L49" s="211"/>
    </row>
    <row r="50" spans="1:12" s="200" customFormat="1" ht="15.75" x14ac:dyDescent="0.25">
      <c r="A50" s="218" t="s">
        <v>211</v>
      </c>
      <c r="B50" s="214" t="s">
        <v>92</v>
      </c>
      <c r="C50" s="215">
        <f t="shared" si="0"/>
        <v>0</v>
      </c>
      <c r="D50" s="208"/>
      <c r="E50" s="206"/>
      <c r="F50" s="206"/>
      <c r="G50" s="206"/>
      <c r="H50" s="208"/>
      <c r="I50" s="208"/>
      <c r="J50" s="208">
        <f>278235.66-195268.99-42234.8-40731.87</f>
        <v>0</v>
      </c>
      <c r="K50" s="211">
        <f>79328.54+85648.74+35257.05+73629.8+33415.24+2730+140570.47+68224.18-200234.33+62730.41+86489.03-250345.51+2950+188509.55+113318.5-149219.44-71174.18-301828.05+12885.6-12885.6+396731+224754.74-621485.74+245370.45-245370.45+22886.1-22886.1+403515.8-403515.8+271534.03-271534.03+385443.48-385443.48</f>
        <v>0</v>
      </c>
      <c r="L50" s="211">
        <f>262587.63-262587.63+397602.18+448893.18-448893.18+262587.64-262587.64-397602.18+194546.03-194546.03</f>
        <v>0</v>
      </c>
    </row>
    <row r="51" spans="1:12" s="200" customFormat="1" ht="15.75" x14ac:dyDescent="0.25">
      <c r="A51" s="218" t="s">
        <v>212</v>
      </c>
      <c r="B51" s="214" t="s">
        <v>92</v>
      </c>
      <c r="C51" s="215">
        <f>SUM(D51:L51)</f>
        <v>25193.000000000233</v>
      </c>
      <c r="D51" s="208"/>
      <c r="E51" s="206"/>
      <c r="F51" s="206"/>
      <c r="G51" s="206"/>
      <c r="H51" s="208"/>
      <c r="I51" s="208"/>
      <c r="J51" s="208"/>
      <c r="K51" s="211">
        <f>188987.25+37789.5+67241.53-127315.25-61672+133502.16+50386+44409.9+194587.74+35164+130633.92-563080.83-130633.92+70328+100026.96+488678.78-170354.96-488678.78+25193+67742.84-67742.84</f>
        <v>25193.000000000233</v>
      </c>
      <c r="L51" s="211">
        <f>142308-142308+142308-142308+659520.24-659520.24+234048-234048</f>
        <v>0</v>
      </c>
    </row>
    <row r="52" spans="1:12" s="200" customFormat="1" ht="15.75" x14ac:dyDescent="0.25">
      <c r="A52" s="218" t="s">
        <v>214</v>
      </c>
      <c r="B52" s="214" t="s">
        <v>92</v>
      </c>
      <c r="C52" s="215">
        <f t="shared" si="0"/>
        <v>0</v>
      </c>
      <c r="D52" s="208"/>
      <c r="E52" s="206"/>
      <c r="F52" s="206"/>
      <c r="G52" s="206"/>
      <c r="H52" s="208"/>
      <c r="I52" s="208"/>
      <c r="J52" s="208">
        <f>353410-136880-216530</f>
        <v>0</v>
      </c>
      <c r="K52" s="211">
        <f>82600+210040-82600-210040+223728+92040-92040-223728+38940+141600-141600-38940</f>
        <v>0</v>
      </c>
      <c r="L52" s="211">
        <f>546340+853140-853140-546340</f>
        <v>0</v>
      </c>
    </row>
    <row r="53" spans="1:12" s="200" customFormat="1" ht="15.75" x14ac:dyDescent="0.25">
      <c r="A53" s="218" t="s">
        <v>302</v>
      </c>
      <c r="B53" s="214" t="s">
        <v>92</v>
      </c>
      <c r="C53" s="215">
        <f t="shared" si="0"/>
        <v>99922.400000000023</v>
      </c>
      <c r="D53" s="208"/>
      <c r="E53" s="206"/>
      <c r="F53" s="206"/>
      <c r="G53" s="206"/>
      <c r="H53" s="208"/>
      <c r="I53" s="208"/>
      <c r="J53" s="208">
        <v>0</v>
      </c>
      <c r="K53" s="211">
        <f>19434.6+41772+159536.4+125987.58+34338-346730.58+271227.4+68260+113901-113901+280785.4-280785.4+34338-136936-271227.4+113901-113901+7103.6-7103.6+18585-18585+43920-43920</f>
        <v>0</v>
      </c>
      <c r="L53" s="211">
        <f>43920-43920+14823.75-14823.75+7103.6+7103.6-7103.6-7103.6+4148.05+43920-43920+14823.75-14823.75-4148.05+57596.98-57596.98+118236+68811.2+119888+70888-70888+118236+62510+14443.2-370803.2+28674+32497.2-159995.2+51471.6+6726+9227.6</f>
        <v>99922.400000000023</v>
      </c>
    </row>
    <row r="54" spans="1:12" s="200" customFormat="1" ht="15.75" x14ac:dyDescent="0.25">
      <c r="A54" s="218" t="s">
        <v>215</v>
      </c>
      <c r="B54" s="214" t="s">
        <v>92</v>
      </c>
      <c r="C54" s="215">
        <f t="shared" si="0"/>
        <v>-5.8207660913467407E-11</v>
      </c>
      <c r="D54" s="208"/>
      <c r="E54" s="206"/>
      <c r="F54" s="206"/>
      <c r="G54" s="206"/>
      <c r="H54" s="208"/>
      <c r="I54" s="208"/>
      <c r="J54" s="208">
        <v>0</v>
      </c>
      <c r="K54" s="211">
        <f>276158.35+71626+84218.96-145178.35+123110-130980-278954.96+54321.3-54321.3</f>
        <v>-5.8207660913467407E-11</v>
      </c>
      <c r="L54" s="211">
        <f>108553.2+124820.4-124820.4-108553.2</f>
        <v>0</v>
      </c>
    </row>
    <row r="55" spans="1:12" s="200" customFormat="1" ht="15.75" x14ac:dyDescent="0.25">
      <c r="A55" s="218" t="s">
        <v>216</v>
      </c>
      <c r="B55" s="214" t="s">
        <v>92</v>
      </c>
      <c r="C55" s="215">
        <f t="shared" si="0"/>
        <v>146315</v>
      </c>
      <c r="D55" s="208"/>
      <c r="E55" s="206"/>
      <c r="F55" s="206"/>
      <c r="G55" s="206"/>
      <c r="H55" s="208"/>
      <c r="I55" s="208"/>
      <c r="J55" s="208"/>
      <c r="K55" s="211">
        <f>91965.45+56630-56630-91965.45</f>
        <v>0</v>
      </c>
      <c r="L55" s="211">
        <f>90440.84-90440.84+181075.95-181075.95+74465.01-74465.01+11030+35285+100000</f>
        <v>146315</v>
      </c>
    </row>
    <row r="56" spans="1:12" s="200" customFormat="1" ht="15.75" x14ac:dyDescent="0.25">
      <c r="A56" s="218" t="s">
        <v>217</v>
      </c>
      <c r="B56" s="214" t="s">
        <v>92</v>
      </c>
      <c r="C56" s="215">
        <f t="shared" si="0"/>
        <v>0</v>
      </c>
      <c r="D56" s="208"/>
      <c r="E56" s="206"/>
      <c r="F56" s="206"/>
      <c r="G56" s="206"/>
      <c r="H56" s="208"/>
      <c r="I56" s="208"/>
      <c r="J56" s="208">
        <f>613685.14-273190+117390-269333.04-188552.1</f>
        <v>0</v>
      </c>
      <c r="K56" s="211">
        <f>94151+18000-94151+63513-63513-18000</f>
        <v>0</v>
      </c>
      <c r="L56" s="211">
        <f>196500-196500+91348-91348</f>
        <v>0</v>
      </c>
    </row>
    <row r="57" spans="1:12" s="200" customFormat="1" ht="15.75" x14ac:dyDescent="0.25">
      <c r="A57" s="218" t="s">
        <v>219</v>
      </c>
      <c r="B57" s="214" t="s">
        <v>92</v>
      </c>
      <c r="C57" s="215">
        <f t="shared" si="0"/>
        <v>159500</v>
      </c>
      <c r="D57" s="208"/>
      <c r="E57" s="206"/>
      <c r="F57" s="206"/>
      <c r="G57" s="206"/>
      <c r="H57" s="208"/>
      <c r="I57" s="208"/>
      <c r="J57" s="208"/>
      <c r="K57" s="211">
        <f>44700+115600+7500-160300+100000-107500+157500+6000-157500-6000</f>
        <v>0</v>
      </c>
      <c r="L57" s="211">
        <f>30000-30000+15000+144500</f>
        <v>159500</v>
      </c>
    </row>
    <row r="58" spans="1:12" s="200" customFormat="1" ht="15.75" x14ac:dyDescent="0.25">
      <c r="A58" s="218" t="s">
        <v>220</v>
      </c>
      <c r="B58" s="214" t="s">
        <v>92</v>
      </c>
      <c r="C58" s="215">
        <f t="shared" si="0"/>
        <v>0</v>
      </c>
      <c r="D58" s="208"/>
      <c r="E58" s="206"/>
      <c r="F58" s="206"/>
      <c r="G58" s="206"/>
      <c r="H58" s="208"/>
      <c r="I58" s="208"/>
      <c r="J58" s="208"/>
      <c r="K58" s="211">
        <f>6980+16500+14945+37860-76285+54849.91-54849.91</f>
        <v>0</v>
      </c>
      <c r="L58" s="211">
        <f>159768.91-159768.91</f>
        <v>0</v>
      </c>
    </row>
    <row r="59" spans="1:12" s="200" customFormat="1" ht="15.75" x14ac:dyDescent="0.25">
      <c r="A59" s="218" t="s">
        <v>221</v>
      </c>
      <c r="B59" s="214" t="s">
        <v>92</v>
      </c>
      <c r="C59" s="215">
        <f t="shared" si="0"/>
        <v>0</v>
      </c>
      <c r="D59" s="208"/>
      <c r="E59" s="206"/>
      <c r="F59" s="206"/>
      <c r="G59" s="206"/>
      <c r="H59" s="208"/>
      <c r="I59" s="208"/>
      <c r="J59" s="208">
        <v>0</v>
      </c>
      <c r="K59" s="211">
        <f>44407.4+44841.99+31054+21777.98+14940.6+43952-157021.97+42916.8+21741.3+34722+17559-108610.1+53342+24398.67+65212+16057.99+3628+51642-266561.66</f>
        <v>0</v>
      </c>
      <c r="L59" s="211"/>
    </row>
    <row r="60" spans="1:12" s="200" customFormat="1" ht="15.75" x14ac:dyDescent="0.25">
      <c r="A60" s="218" t="s">
        <v>222</v>
      </c>
      <c r="B60" s="214" t="s">
        <v>92</v>
      </c>
      <c r="C60" s="215">
        <f t="shared" si="0"/>
        <v>0</v>
      </c>
      <c r="D60" s="208"/>
      <c r="E60" s="206"/>
      <c r="F60" s="206"/>
      <c r="G60" s="206"/>
      <c r="H60" s="208"/>
      <c r="I60" s="208"/>
      <c r="J60" s="208"/>
      <c r="K60" s="211">
        <f>17464+18408+35382-71254</f>
        <v>0</v>
      </c>
      <c r="L60" s="211"/>
    </row>
    <row r="61" spans="1:12" s="200" customFormat="1" ht="15.75" x14ac:dyDescent="0.25">
      <c r="A61" s="218" t="s">
        <v>224</v>
      </c>
      <c r="B61" s="214" t="s">
        <v>92</v>
      </c>
      <c r="C61" s="215">
        <f t="shared" si="0"/>
        <v>0</v>
      </c>
      <c r="D61" s="208"/>
      <c r="E61" s="206"/>
      <c r="F61" s="206"/>
      <c r="G61" s="206"/>
      <c r="H61" s="208"/>
      <c r="I61" s="208"/>
      <c r="J61" s="208">
        <v>0</v>
      </c>
      <c r="K61" s="211">
        <f>143030-143030+15600-15600</f>
        <v>0</v>
      </c>
      <c r="L61" s="211">
        <f>13711.6-13711.6</f>
        <v>0</v>
      </c>
    </row>
    <row r="62" spans="1:12" s="200" customFormat="1" ht="15.75" x14ac:dyDescent="0.25">
      <c r="A62" s="218" t="s">
        <v>225</v>
      </c>
      <c r="B62" s="214" t="s">
        <v>92</v>
      </c>
      <c r="C62" s="215">
        <f t="shared" si="0"/>
        <v>0</v>
      </c>
      <c r="D62" s="208"/>
      <c r="E62" s="206"/>
      <c r="F62" s="206"/>
      <c r="G62" s="206" t="s">
        <v>30</v>
      </c>
      <c r="H62" s="208"/>
      <c r="I62" s="208"/>
      <c r="J62" s="208"/>
      <c r="K62" s="211">
        <f>29845-29845</f>
        <v>0</v>
      </c>
      <c r="L62" s="211"/>
    </row>
    <row r="63" spans="1:12" s="200" customFormat="1" ht="15.75" x14ac:dyDescent="0.25">
      <c r="A63" s="218" t="s">
        <v>226</v>
      </c>
      <c r="B63" s="214" t="s">
        <v>92</v>
      </c>
      <c r="C63" s="215">
        <f t="shared" si="0"/>
        <v>52490</v>
      </c>
      <c r="D63" s="208"/>
      <c r="E63" s="206"/>
      <c r="F63" s="206"/>
      <c r="G63" s="206"/>
      <c r="H63" s="208"/>
      <c r="I63" s="208"/>
      <c r="J63" s="208"/>
      <c r="K63" s="211">
        <f>20800+7500+27000+20800+13500+20800+24300-7500-20800-27000-20800+22200+13500+46500-58600+6000+23800+40500+22110+19550-22200-23800-22110+20740-20740-126050</f>
        <v>0</v>
      </c>
      <c r="L63" s="211">
        <f>23470-23470+20505-20505+20825-20825+26050-26050+18000-18000+19990-19990+17810-17810+23050-23050+51000-51000+22140+22850+7500</f>
        <v>52490</v>
      </c>
    </row>
    <row r="64" spans="1:12" s="200" customFormat="1" ht="15.75" x14ac:dyDescent="0.25">
      <c r="A64" s="218" t="s">
        <v>230</v>
      </c>
      <c r="B64" s="214" t="s">
        <v>92</v>
      </c>
      <c r="C64" s="215">
        <f t="shared" si="0"/>
        <v>6960</v>
      </c>
      <c r="D64" s="208"/>
      <c r="E64" s="206"/>
      <c r="F64" s="206"/>
      <c r="G64" s="206"/>
      <c r="H64" s="208"/>
      <c r="I64" s="208"/>
      <c r="J64" s="208"/>
      <c r="K64" s="211">
        <f>116756-116756+122723+48448-171171</f>
        <v>0</v>
      </c>
      <c r="L64" s="211">
        <v>6960</v>
      </c>
    </row>
    <row r="65" spans="1:12" s="200" customFormat="1" ht="15.75" x14ac:dyDescent="0.25">
      <c r="A65" s="218" t="s">
        <v>238</v>
      </c>
      <c r="B65" s="214" t="s">
        <v>92</v>
      </c>
      <c r="C65" s="215">
        <f t="shared" si="0"/>
        <v>0</v>
      </c>
      <c r="D65" s="208"/>
      <c r="E65" s="206"/>
      <c r="F65" s="206"/>
      <c r="G65" s="206"/>
      <c r="H65" s="208"/>
      <c r="I65" s="208"/>
      <c r="J65" s="208">
        <v>0</v>
      </c>
      <c r="K65" s="211">
        <f>93887.63-93887.63</f>
        <v>0</v>
      </c>
      <c r="L65" s="211">
        <f>343329.79-343329.79</f>
        <v>0</v>
      </c>
    </row>
    <row r="66" spans="1:12" s="200" customFormat="1" ht="15.75" x14ac:dyDescent="0.25">
      <c r="A66" s="218" t="s">
        <v>239</v>
      </c>
      <c r="B66" s="214" t="s">
        <v>92</v>
      </c>
      <c r="C66" s="215">
        <f t="shared" si="0"/>
        <v>0</v>
      </c>
      <c r="D66" s="208"/>
      <c r="E66" s="206"/>
      <c r="F66" s="206"/>
      <c r="G66" s="206"/>
      <c r="H66" s="208"/>
      <c r="I66" s="208"/>
      <c r="J66" s="208"/>
      <c r="K66" s="211"/>
      <c r="L66" s="211">
        <f>64232-64232</f>
        <v>0</v>
      </c>
    </row>
    <row r="67" spans="1:12" s="200" customFormat="1" ht="15.75" x14ac:dyDescent="0.25">
      <c r="A67" s="255" t="s">
        <v>240</v>
      </c>
      <c r="B67" s="214" t="s">
        <v>92</v>
      </c>
      <c r="C67" s="215">
        <f t="shared" si="0"/>
        <v>0</v>
      </c>
      <c r="D67" s="208"/>
      <c r="E67" s="206"/>
      <c r="F67" s="206"/>
      <c r="G67" s="206"/>
      <c r="H67" s="208"/>
      <c r="I67" s="208"/>
      <c r="J67" s="208"/>
      <c r="K67" s="211"/>
      <c r="L67" s="211"/>
    </row>
    <row r="68" spans="1:12" s="2" customFormat="1" ht="15.75" x14ac:dyDescent="0.25">
      <c r="A68" s="255" t="s">
        <v>241</v>
      </c>
      <c r="B68" s="214" t="s">
        <v>92</v>
      </c>
      <c r="C68" s="215">
        <f t="shared" si="0"/>
        <v>26000</v>
      </c>
      <c r="D68" s="208">
        <v>0</v>
      </c>
      <c r="E68" s="206">
        <v>0</v>
      </c>
      <c r="F68" s="206">
        <v>0</v>
      </c>
      <c r="G68" s="206">
        <v>0</v>
      </c>
      <c r="H68" s="208">
        <v>0</v>
      </c>
      <c r="I68" s="208">
        <v>0</v>
      </c>
      <c r="J68" s="208"/>
      <c r="K68" s="211">
        <f>17000-17000+103500+47000+12500+37500-103500+62500+25000-97000+52000-62500-25000-52000+65000-65000</f>
        <v>0</v>
      </c>
      <c r="L68" s="211">
        <v>26000</v>
      </c>
    </row>
    <row r="69" spans="1:12" s="2" customFormat="1" ht="15.75" x14ac:dyDescent="0.25">
      <c r="A69" s="255" t="s">
        <v>242</v>
      </c>
      <c r="B69" s="214" t="s">
        <v>92</v>
      </c>
      <c r="C69" s="215">
        <f t="shared" si="0"/>
        <v>0</v>
      </c>
      <c r="D69" s="208">
        <v>0</v>
      </c>
      <c r="E69" s="206">
        <v>0</v>
      </c>
      <c r="F69" s="206">
        <v>0</v>
      </c>
      <c r="G69" s="206">
        <v>0</v>
      </c>
      <c r="H69" s="208">
        <v>0</v>
      </c>
      <c r="I69" s="208">
        <v>0</v>
      </c>
      <c r="J69" s="208">
        <f>4500-4500</f>
        <v>0</v>
      </c>
      <c r="K69" s="211">
        <f>6500-6500+5000+3500-8500+6500-6500</f>
        <v>0</v>
      </c>
      <c r="L69" s="211">
        <f>4400-4400+4000-4000</f>
        <v>0</v>
      </c>
    </row>
    <row r="70" spans="1:12" s="2" customFormat="1" ht="15.75" x14ac:dyDescent="0.25">
      <c r="A70" s="255" t="s">
        <v>213</v>
      </c>
      <c r="B70" s="214" t="s">
        <v>92</v>
      </c>
      <c r="C70" s="215">
        <f t="shared" si="0"/>
        <v>0</v>
      </c>
      <c r="D70" s="208">
        <v>0</v>
      </c>
      <c r="E70" s="206">
        <v>0</v>
      </c>
      <c r="F70" s="206">
        <v>0</v>
      </c>
      <c r="G70" s="206">
        <v>0</v>
      </c>
      <c r="H70" s="208">
        <v>0</v>
      </c>
      <c r="I70" s="208">
        <v>0</v>
      </c>
      <c r="J70" s="208"/>
      <c r="K70" s="211">
        <f>4346+4200+3360+6571+5002+2665+4400-14277+2100+4265+4560-6865+2665+6824+2378-2378-5002+2100+2337-6602+4601-9001+2100-6865-13484</f>
        <v>0</v>
      </c>
      <c r="L70" s="211">
        <f>14400-14400+14400-14400+10500-10500</f>
        <v>0</v>
      </c>
    </row>
    <row r="71" spans="1:12" s="2" customFormat="1" ht="15.75" x14ac:dyDescent="0.25">
      <c r="A71" s="255" t="s">
        <v>231</v>
      </c>
      <c r="B71" s="214" t="s">
        <v>92</v>
      </c>
      <c r="C71" s="215">
        <f t="shared" si="0"/>
        <v>0</v>
      </c>
      <c r="D71" s="208">
        <v>0</v>
      </c>
      <c r="E71" s="206">
        <v>0</v>
      </c>
      <c r="F71" s="206">
        <v>0</v>
      </c>
      <c r="G71" s="206">
        <v>0</v>
      </c>
      <c r="H71" s="208">
        <v>0</v>
      </c>
      <c r="I71" s="208">
        <v>0</v>
      </c>
      <c r="J71" s="208">
        <v>0</v>
      </c>
      <c r="K71" s="211">
        <f>6000+6000+6000+6000+6000+6000-18000+6000+6000-18000+6000+6000-6000-6000-6000-6000</f>
        <v>0</v>
      </c>
      <c r="L71" s="211">
        <f>6000+6000-6000+6000-6000+6000-6000-6000+6000+6000-12000</f>
        <v>0</v>
      </c>
    </row>
    <row r="72" spans="1:12" s="2" customFormat="1" ht="15.75" x14ac:dyDescent="0.25">
      <c r="A72" s="255" t="s">
        <v>243</v>
      </c>
      <c r="B72" s="214" t="s">
        <v>92</v>
      </c>
      <c r="C72" s="215">
        <f t="shared" ref="C72:C124" si="1">SUM(D72:L72)</f>
        <v>46574.080000000002</v>
      </c>
      <c r="D72" s="208">
        <v>0</v>
      </c>
      <c r="E72" s="206">
        <v>0</v>
      </c>
      <c r="F72" s="206">
        <v>0</v>
      </c>
      <c r="G72" s="206">
        <v>0</v>
      </c>
      <c r="H72" s="208">
        <v>0</v>
      </c>
      <c r="I72" s="208">
        <v>0</v>
      </c>
      <c r="J72" s="208">
        <f>51340.28-51340.28</f>
        <v>0</v>
      </c>
      <c r="K72" s="211">
        <f>53060.03-53060.03+47628.4+42076.98-47628.4-42076.98+35986.54-35986.54</f>
        <v>0</v>
      </c>
      <c r="L72" s="211">
        <f>48893.26-48893.26+28520-28520+43212.08-43212.08+41426.5-41426.5+46574.08</f>
        <v>46574.080000000002</v>
      </c>
    </row>
    <row r="73" spans="1:12" s="2" customFormat="1" ht="15.75" x14ac:dyDescent="0.25">
      <c r="A73" s="255" t="s">
        <v>232</v>
      </c>
      <c r="B73" s="214" t="s">
        <v>92</v>
      </c>
      <c r="C73" s="215">
        <f t="shared" si="1"/>
        <v>79012.5</v>
      </c>
      <c r="D73" s="208">
        <v>0</v>
      </c>
      <c r="E73" s="206">
        <v>0</v>
      </c>
      <c r="F73" s="206">
        <v>0</v>
      </c>
      <c r="G73" s="206">
        <v>0</v>
      </c>
      <c r="H73" s="208">
        <v>0</v>
      </c>
      <c r="I73" s="208">
        <v>0</v>
      </c>
      <c r="J73" s="208">
        <v>0</v>
      </c>
      <c r="K73" s="211">
        <f>14150+8950+900-900+900-900+750-750+1350-1350+800+1050+800+1050+900-900+900-900+1350-1350+750+900-900+900-900+1200+1200+14400+750-900-750-1350-1500-900-900-900-1200-2250-750-750-900-900-900-1450+900+900+900+1050+900-900+900-900+750-750+900+900-900+900-9000+900-900+900-900+900-900+900+900-12800+900-900+4950-4950+2550+2300-2300+750-21700+13350+1350-1350+1350+1350-1350-13250-17850+1200-1200+1350+900+900+900+900+900+900+900+1350-1350+900+750+750+750+1350+900+750+900+900+1950-1950+900+900+13750+900-900+900+1200-1200-900-900-900-800-900-7200</f>
        <v>0</v>
      </c>
      <c r="L73" s="211">
        <f>1350+1350-1350-1350+800+900-900+900+1200-1200+1350-1350+1350-1350+1350+750-750+900-900+750-750+900-900+900-900+1950-1950-1950+1950+900-900+9900+900-900-900+900+900+900+900+900+750-750+1200-1200+900+900+900+900+900+900+900+900+900+900+900+900+900+900+1350+900+900+1350+900+900+900+900+1750+2150+1950-1950+1750+1350+2800+750+1350+900+1200-1200-900-750-900-1350-1350-900+2550+800+900+1950+1350+900+1200+900+900+900+900+1750+900+900+900+900-38700+11800-6650-1350-1350-1050+900+2300-900-21650+2450+1350+17800+900+1550+1400+1400+5400+1050+1200+1350-12550+9750+1350+1350+1350+1350+1350+1350+17300+1350+1350+22250-5400-20200+17300+20150-41750+5000+6350+8312.5</f>
        <v>79012.5</v>
      </c>
    </row>
    <row r="74" spans="1:12" s="2" customFormat="1" ht="15.75" x14ac:dyDescent="0.25">
      <c r="A74" s="255" t="s">
        <v>244</v>
      </c>
      <c r="B74" s="214" t="s">
        <v>92</v>
      </c>
      <c r="C74" s="215">
        <f t="shared" si="1"/>
        <v>316240</v>
      </c>
      <c r="D74" s="208">
        <v>0</v>
      </c>
      <c r="E74" s="206">
        <v>0</v>
      </c>
      <c r="F74" s="206">
        <v>0</v>
      </c>
      <c r="G74" s="206">
        <v>0</v>
      </c>
      <c r="H74" s="208">
        <v>0</v>
      </c>
      <c r="I74" s="208">
        <v>0</v>
      </c>
      <c r="J74" s="208">
        <v>0</v>
      </c>
      <c r="K74" s="211">
        <f>54988+22892-54988+196588+82364-219480-82364</f>
        <v>0</v>
      </c>
      <c r="L74" s="211">
        <f>278480+37760</f>
        <v>316240</v>
      </c>
    </row>
    <row r="75" spans="1:12" s="2" customFormat="1" ht="15.75" x14ac:dyDescent="0.25">
      <c r="A75" s="255" t="s">
        <v>245</v>
      </c>
      <c r="B75" s="214" t="s">
        <v>92</v>
      </c>
      <c r="C75" s="215">
        <f t="shared" si="1"/>
        <v>0</v>
      </c>
      <c r="D75" s="208">
        <v>0</v>
      </c>
      <c r="E75" s="206">
        <v>0</v>
      </c>
      <c r="F75" s="206">
        <v>0</v>
      </c>
      <c r="G75" s="206">
        <v>0</v>
      </c>
      <c r="H75" s="208">
        <v>0</v>
      </c>
      <c r="I75" s="208">
        <v>0</v>
      </c>
      <c r="J75" s="208"/>
      <c r="K75" s="211"/>
      <c r="L75" s="211"/>
    </row>
    <row r="76" spans="1:12" s="2" customFormat="1" ht="15.75" x14ac:dyDescent="0.25">
      <c r="A76" s="255" t="s">
        <v>246</v>
      </c>
      <c r="B76" s="214" t="s">
        <v>92</v>
      </c>
      <c r="C76" s="215">
        <f t="shared" si="1"/>
        <v>110656.03</v>
      </c>
      <c r="D76" s="208">
        <v>0</v>
      </c>
      <c r="E76" s="206">
        <v>0</v>
      </c>
      <c r="F76" s="206">
        <v>0</v>
      </c>
      <c r="G76" s="206">
        <v>0</v>
      </c>
      <c r="H76" s="208">
        <v>0</v>
      </c>
      <c r="I76" s="208">
        <v>0</v>
      </c>
      <c r="J76" s="208"/>
      <c r="K76" s="211">
        <f>21059.98-21059.98+20502.89-20502.89+50152.72+40046.52-50152.72-40046.52</f>
        <v>0</v>
      </c>
      <c r="L76" s="211">
        <v>110656.03</v>
      </c>
    </row>
    <row r="77" spans="1:12" s="2" customFormat="1" ht="15.75" x14ac:dyDescent="0.25">
      <c r="A77" s="255" t="s">
        <v>247</v>
      </c>
      <c r="B77" s="214" t="s">
        <v>92</v>
      </c>
      <c r="C77" s="215">
        <f t="shared" si="1"/>
        <v>0</v>
      </c>
      <c r="D77" s="208">
        <v>0</v>
      </c>
      <c r="E77" s="206">
        <v>0</v>
      </c>
      <c r="F77" s="206">
        <v>0</v>
      </c>
      <c r="G77" s="206">
        <v>0</v>
      </c>
      <c r="H77" s="208">
        <v>0</v>
      </c>
      <c r="I77" s="208">
        <v>0</v>
      </c>
      <c r="J77" s="208"/>
      <c r="K77" s="211">
        <f>18880-18880</f>
        <v>0</v>
      </c>
      <c r="L77" s="211"/>
    </row>
    <row r="78" spans="1:12" s="2" customFormat="1" ht="15.75" x14ac:dyDescent="0.25">
      <c r="A78" s="255" t="s">
        <v>248</v>
      </c>
      <c r="B78" s="214" t="s">
        <v>92</v>
      </c>
      <c r="C78" s="215">
        <f t="shared" si="1"/>
        <v>0</v>
      </c>
      <c r="D78" s="208">
        <v>0</v>
      </c>
      <c r="E78" s="206">
        <v>0</v>
      </c>
      <c r="F78" s="206">
        <v>0</v>
      </c>
      <c r="G78" s="206">
        <v>0</v>
      </c>
      <c r="H78" s="208">
        <v>0</v>
      </c>
      <c r="I78" s="208">
        <v>0</v>
      </c>
      <c r="J78" s="208"/>
      <c r="K78" s="211">
        <f>38435-38435+225816.03-225816.03</f>
        <v>0</v>
      </c>
      <c r="L78" s="211"/>
    </row>
    <row r="79" spans="1:12" s="2" customFormat="1" ht="15.75" x14ac:dyDescent="0.25">
      <c r="A79" s="216" t="s">
        <v>249</v>
      </c>
      <c r="B79" s="214" t="s">
        <v>92</v>
      </c>
      <c r="C79" s="215">
        <f t="shared" si="1"/>
        <v>0</v>
      </c>
      <c r="D79" s="208">
        <v>0</v>
      </c>
      <c r="E79" s="206">
        <v>0</v>
      </c>
      <c r="F79" s="206">
        <v>0</v>
      </c>
      <c r="G79" s="206">
        <v>0</v>
      </c>
      <c r="H79" s="208">
        <v>0</v>
      </c>
      <c r="I79" s="208">
        <v>0</v>
      </c>
      <c r="J79" s="208"/>
      <c r="K79" s="211">
        <f>13452+6338+2360-13452-6338-2360+74800.26-74800.26</f>
        <v>0</v>
      </c>
      <c r="L79" s="211">
        <f>48200-48200+186000-186000</f>
        <v>0</v>
      </c>
    </row>
    <row r="80" spans="1:12" s="2" customFormat="1" ht="15.75" x14ac:dyDescent="0.25">
      <c r="A80" s="256" t="s">
        <v>250</v>
      </c>
      <c r="B80" s="214" t="s">
        <v>92</v>
      </c>
      <c r="C80" s="215">
        <f t="shared" si="1"/>
        <v>49734.210000000006</v>
      </c>
      <c r="D80" s="208">
        <v>0</v>
      </c>
      <c r="E80" s="206">
        <v>0</v>
      </c>
      <c r="F80" s="206">
        <v>0</v>
      </c>
      <c r="G80" s="206">
        <v>0</v>
      </c>
      <c r="H80" s="208">
        <v>0</v>
      </c>
      <c r="I80" s="208">
        <v>0</v>
      </c>
      <c r="J80" s="208">
        <f>6404.16-6404.16</f>
        <v>0</v>
      </c>
      <c r="K80" s="211">
        <v>0</v>
      </c>
      <c r="L80" s="211">
        <f>46855.12+2879.09</f>
        <v>49734.210000000006</v>
      </c>
    </row>
    <row r="81" spans="1:12" s="2" customFormat="1" ht="15.75" x14ac:dyDescent="0.25">
      <c r="A81" s="256" t="s">
        <v>251</v>
      </c>
      <c r="B81" s="214" t="s">
        <v>92</v>
      </c>
      <c r="C81" s="215">
        <f t="shared" si="1"/>
        <v>0</v>
      </c>
      <c r="D81" s="208">
        <v>0</v>
      </c>
      <c r="E81" s="206">
        <v>0</v>
      </c>
      <c r="F81" s="206">
        <v>0</v>
      </c>
      <c r="G81" s="206">
        <v>0</v>
      </c>
      <c r="H81" s="208">
        <v>0</v>
      </c>
      <c r="I81" s="208">
        <v>0</v>
      </c>
      <c r="J81" s="208"/>
      <c r="K81" s="211">
        <f>5000+5500+2000+8000+12300+6700-20500+11300-30300+5000+12000+22000-17000-22000</f>
        <v>0</v>
      </c>
      <c r="L81" s="211"/>
    </row>
    <row r="82" spans="1:12" s="200" customFormat="1" ht="15.75" x14ac:dyDescent="0.25">
      <c r="A82" s="256" t="s">
        <v>254</v>
      </c>
      <c r="B82" s="214" t="s">
        <v>92</v>
      </c>
      <c r="C82" s="215">
        <f t="shared" si="1"/>
        <v>0</v>
      </c>
      <c r="D82" s="208"/>
      <c r="E82" s="206"/>
      <c r="F82" s="206"/>
      <c r="G82" s="206"/>
      <c r="H82" s="208"/>
      <c r="I82" s="208"/>
      <c r="J82" s="208"/>
      <c r="K82" s="211">
        <f>21799.99-21799.99</f>
        <v>0</v>
      </c>
      <c r="L82" s="211"/>
    </row>
    <row r="83" spans="1:12" s="200" customFormat="1" ht="15.75" x14ac:dyDescent="0.25">
      <c r="A83" s="256" t="s">
        <v>255</v>
      </c>
      <c r="B83" s="214" t="s">
        <v>92</v>
      </c>
      <c r="C83" s="215">
        <f t="shared" si="1"/>
        <v>0</v>
      </c>
      <c r="D83" s="208"/>
      <c r="E83" s="206"/>
      <c r="F83" s="206"/>
      <c r="G83" s="206"/>
      <c r="H83" s="208"/>
      <c r="I83" s="208"/>
      <c r="J83" s="208"/>
      <c r="K83" s="211">
        <f>4500-4500</f>
        <v>0</v>
      </c>
      <c r="L83" s="211"/>
    </row>
    <row r="84" spans="1:12" s="200" customFormat="1" x14ac:dyDescent="0.25">
      <c r="A84" s="234" t="s">
        <v>256</v>
      </c>
      <c r="B84" s="214" t="s">
        <v>92</v>
      </c>
      <c r="C84" s="215">
        <f t="shared" si="1"/>
        <v>37760</v>
      </c>
      <c r="D84" s="208"/>
      <c r="E84" s="206"/>
      <c r="F84" s="206"/>
      <c r="G84" s="206"/>
      <c r="H84" s="208"/>
      <c r="I84" s="208"/>
      <c r="J84" s="208"/>
      <c r="K84" s="211">
        <f>36580-36580+29500-29500</f>
        <v>0</v>
      </c>
      <c r="L84" s="211">
        <v>37760</v>
      </c>
    </row>
    <row r="85" spans="1:12" s="200" customFormat="1" x14ac:dyDescent="0.25">
      <c r="A85" s="234" t="s">
        <v>257</v>
      </c>
      <c r="B85" s="214" t="s">
        <v>92</v>
      </c>
      <c r="C85" s="215">
        <f t="shared" si="1"/>
        <v>0</v>
      </c>
      <c r="D85" s="208"/>
      <c r="E85" s="206"/>
      <c r="F85" s="206"/>
      <c r="G85" s="206"/>
      <c r="H85" s="208"/>
      <c r="I85" s="208"/>
      <c r="J85" s="208"/>
      <c r="K85" s="211">
        <f>6900-6900</f>
        <v>0</v>
      </c>
      <c r="L85" s="211"/>
    </row>
    <row r="86" spans="1:12" s="200" customFormat="1" ht="15.75" x14ac:dyDescent="0.25">
      <c r="A86" s="256" t="s">
        <v>258</v>
      </c>
      <c r="B86" s="214" t="s">
        <v>92</v>
      </c>
      <c r="C86" s="215">
        <f t="shared" si="1"/>
        <v>398808.5</v>
      </c>
      <c r="D86" s="208"/>
      <c r="E86" s="206"/>
      <c r="F86" s="206"/>
      <c r="G86" s="206"/>
      <c r="H86" s="208"/>
      <c r="I86" s="208"/>
      <c r="J86" s="211"/>
      <c r="K86" s="211">
        <f>49992+8040+32794.56+73300+3600+58540.27+108640.01+79488.37+45344.92+226566.32-168234.83-233473.3+33276-259842.32+55577.25-8040-49992+21948-21948-55577.25+48636.9-48636.9+11800-11800+53664.3-53664.3+41461.3-41461.3</f>
        <v>0</v>
      </c>
      <c r="L86" s="211">
        <f>48933.9-48933.9+198607-198607+9996-9996+8330-8330+16660-16660+487991.49-487991.49+53725.05-53725.05+39579-39579+50004.45-50004.45+39579-39579+51899.85-51899.85+209410.48-209410.48+61283.7-61283.7+52419.8-52419.8+59550.3-59550.3+33240-33240+297039-297039+62824.05+11070+251096+73818.45</f>
        <v>398808.5</v>
      </c>
    </row>
    <row r="87" spans="1:12" s="200" customFormat="1" ht="15.75" x14ac:dyDescent="0.25">
      <c r="A87" s="256" t="s">
        <v>259</v>
      </c>
      <c r="B87" s="214" t="s">
        <v>92</v>
      </c>
      <c r="C87" s="215">
        <f t="shared" si="1"/>
        <v>20414</v>
      </c>
      <c r="D87" s="208"/>
      <c r="E87" s="206"/>
      <c r="F87" s="206"/>
      <c r="G87" s="206"/>
      <c r="H87" s="208"/>
      <c r="I87" s="208"/>
      <c r="J87" s="211"/>
      <c r="K87" s="211">
        <f>9581.6+39648-49229.6+14042-14042</f>
        <v>0</v>
      </c>
      <c r="L87" s="211">
        <f>44604-44604+50386-50386+20414</f>
        <v>20414</v>
      </c>
    </row>
    <row r="88" spans="1:12" s="200" customFormat="1" ht="15.75" x14ac:dyDescent="0.25">
      <c r="A88" s="256" t="s">
        <v>257</v>
      </c>
      <c r="B88" s="214" t="s">
        <v>92</v>
      </c>
      <c r="C88" s="215">
        <f t="shared" si="1"/>
        <v>0</v>
      </c>
      <c r="D88" s="208"/>
      <c r="E88" s="206"/>
      <c r="F88" s="206"/>
      <c r="G88" s="206"/>
      <c r="H88" s="208"/>
      <c r="I88" s="208"/>
      <c r="J88" s="211"/>
      <c r="K88" s="211">
        <f>6900-6900</f>
        <v>0</v>
      </c>
      <c r="L88" s="211"/>
    </row>
    <row r="89" spans="1:12" s="200" customFormat="1" ht="15.75" x14ac:dyDescent="0.25">
      <c r="A89" s="256" t="s">
        <v>261</v>
      </c>
      <c r="B89" s="214" t="s">
        <v>92</v>
      </c>
      <c r="C89" s="215">
        <f t="shared" si="1"/>
        <v>0</v>
      </c>
      <c r="D89" s="208"/>
      <c r="E89" s="206"/>
      <c r="F89" s="206"/>
      <c r="G89" s="206"/>
      <c r="H89" s="208"/>
      <c r="I89" s="208"/>
      <c r="J89" s="211"/>
      <c r="K89" s="211">
        <f>6700-6700</f>
        <v>0</v>
      </c>
      <c r="L89" s="211"/>
    </row>
    <row r="90" spans="1:12" s="200" customFormat="1" ht="15.75" x14ac:dyDescent="0.25">
      <c r="A90" s="255" t="s">
        <v>252</v>
      </c>
      <c r="B90" s="214" t="s">
        <v>92</v>
      </c>
      <c r="C90" s="215">
        <f t="shared" si="1"/>
        <v>0</v>
      </c>
      <c r="D90" s="215"/>
      <c r="E90" s="215"/>
      <c r="F90" s="215"/>
      <c r="G90" s="215"/>
      <c r="H90" s="215"/>
      <c r="I90" s="215">
        <v>0</v>
      </c>
      <c r="J90" s="215">
        <v>0</v>
      </c>
      <c r="K90" s="211"/>
      <c r="L90" s="211">
        <f>24526-24526</f>
        <v>0</v>
      </c>
    </row>
    <row r="91" spans="1:12" s="200" customFormat="1" ht="15.75" x14ac:dyDescent="0.25">
      <c r="A91" s="255" t="s">
        <v>263</v>
      </c>
      <c r="B91" s="214" t="s">
        <v>92</v>
      </c>
      <c r="C91" s="215">
        <f t="shared" si="1"/>
        <v>0</v>
      </c>
      <c r="D91" s="215"/>
      <c r="E91" s="215"/>
      <c r="F91" s="215"/>
      <c r="G91" s="215"/>
      <c r="H91" s="215"/>
      <c r="I91" s="215"/>
      <c r="J91" s="215"/>
      <c r="K91" s="211">
        <f>26000-26000</f>
        <v>0</v>
      </c>
      <c r="L91" s="211"/>
    </row>
    <row r="92" spans="1:12" s="200" customFormat="1" ht="15.75" x14ac:dyDescent="0.25">
      <c r="A92" s="255" t="s">
        <v>262</v>
      </c>
      <c r="B92" s="214" t="s">
        <v>92</v>
      </c>
      <c r="C92" s="215">
        <f t="shared" si="1"/>
        <v>0</v>
      </c>
      <c r="D92" s="215">
        <v>0</v>
      </c>
      <c r="E92" s="215">
        <v>0</v>
      </c>
      <c r="F92" s="215">
        <v>0</v>
      </c>
      <c r="G92" s="215">
        <v>0</v>
      </c>
      <c r="H92" s="215">
        <v>0</v>
      </c>
      <c r="I92" s="215">
        <v>0</v>
      </c>
      <c r="J92" s="215">
        <v>0</v>
      </c>
      <c r="K92" s="211">
        <f>40020-40020</f>
        <v>0</v>
      </c>
      <c r="L92" s="211"/>
    </row>
    <row r="93" spans="1:12" s="200" customFormat="1" ht="15.75" x14ac:dyDescent="0.25">
      <c r="A93" s="255" t="s">
        <v>265</v>
      </c>
      <c r="B93" s="214" t="s">
        <v>92</v>
      </c>
      <c r="C93" s="215">
        <f t="shared" si="1"/>
        <v>26943.360000000001</v>
      </c>
      <c r="D93" s="215"/>
      <c r="E93" s="215"/>
      <c r="F93" s="215"/>
      <c r="G93" s="215"/>
      <c r="H93" s="215"/>
      <c r="I93" s="215"/>
      <c r="J93" s="215"/>
      <c r="K93" s="211">
        <f>47665.12-47665.12</f>
        <v>0</v>
      </c>
      <c r="L93" s="211">
        <v>26943.360000000001</v>
      </c>
    </row>
    <row r="94" spans="1:12" s="200" customFormat="1" ht="15.75" x14ac:dyDescent="0.25">
      <c r="A94" s="255" t="s">
        <v>264</v>
      </c>
      <c r="B94" s="214" t="s">
        <v>92</v>
      </c>
      <c r="C94" s="215">
        <f t="shared" si="1"/>
        <v>0</v>
      </c>
      <c r="D94" s="215">
        <v>0</v>
      </c>
      <c r="E94" s="215"/>
      <c r="F94" s="215"/>
      <c r="G94" s="215"/>
      <c r="H94" s="215"/>
      <c r="I94" s="215"/>
      <c r="J94" s="215"/>
      <c r="K94" s="215">
        <f>42834-42834</f>
        <v>0</v>
      </c>
      <c r="L94" s="215"/>
    </row>
    <row r="95" spans="1:12" s="200" customFormat="1" ht="15.75" x14ac:dyDescent="0.25">
      <c r="A95" s="255" t="s">
        <v>266</v>
      </c>
      <c r="B95" s="214" t="s">
        <v>92</v>
      </c>
      <c r="C95" s="215">
        <f t="shared" si="1"/>
        <v>0</v>
      </c>
      <c r="D95" s="215">
        <v>0</v>
      </c>
      <c r="E95" s="215"/>
      <c r="F95" s="215"/>
      <c r="G95" s="215"/>
      <c r="H95" s="215"/>
      <c r="I95" s="215"/>
      <c r="J95" s="215"/>
      <c r="K95" s="215">
        <f>11700-11700</f>
        <v>0</v>
      </c>
      <c r="L95" s="215"/>
    </row>
    <row r="96" spans="1:12" s="200" customFormat="1" ht="15.75" x14ac:dyDescent="0.25">
      <c r="A96" s="255" t="s">
        <v>267</v>
      </c>
      <c r="B96" s="214" t="s">
        <v>92</v>
      </c>
      <c r="C96" s="215">
        <f>SUM(D96:L96)</f>
        <v>0</v>
      </c>
      <c r="D96" s="215"/>
      <c r="E96" s="215"/>
      <c r="F96" s="215"/>
      <c r="G96" s="215"/>
      <c r="H96" s="215"/>
      <c r="I96" s="215"/>
      <c r="J96" s="215"/>
      <c r="K96" s="215">
        <f>34545-34545</f>
        <v>0</v>
      </c>
      <c r="L96" s="215"/>
    </row>
    <row r="97" spans="1:12" s="200" customFormat="1" ht="15.75" x14ac:dyDescent="0.25">
      <c r="A97" s="255" t="s">
        <v>268</v>
      </c>
      <c r="B97" s="214" t="s">
        <v>92</v>
      </c>
      <c r="C97" s="215">
        <f t="shared" si="1"/>
        <v>0</v>
      </c>
      <c r="D97" s="215"/>
      <c r="E97" s="215"/>
      <c r="F97" s="215"/>
      <c r="G97" s="215"/>
      <c r="H97" s="215"/>
      <c r="I97" s="215"/>
      <c r="J97" s="215">
        <v>0</v>
      </c>
      <c r="K97" s="215">
        <f>10500-6500-4000</f>
        <v>0</v>
      </c>
      <c r="L97" s="215"/>
    </row>
    <row r="98" spans="1:12" s="200" customFormat="1" ht="15.75" x14ac:dyDescent="0.25">
      <c r="A98" s="255" t="s">
        <v>269</v>
      </c>
      <c r="B98" s="214" t="s">
        <v>92</v>
      </c>
      <c r="C98" s="215">
        <f t="shared" si="1"/>
        <v>0</v>
      </c>
      <c r="D98" s="215"/>
      <c r="E98" s="215"/>
      <c r="F98" s="215"/>
      <c r="G98" s="215"/>
      <c r="H98" s="215"/>
      <c r="I98" s="215"/>
      <c r="J98" s="215"/>
      <c r="K98" s="215">
        <f>11210-11210</f>
        <v>0</v>
      </c>
      <c r="L98" s="215">
        <f>14160-14160</f>
        <v>0</v>
      </c>
    </row>
    <row r="99" spans="1:12" s="200" customFormat="1" ht="15.75" x14ac:dyDescent="0.25">
      <c r="A99" s="255" t="s">
        <v>270</v>
      </c>
      <c r="B99" s="214" t="s">
        <v>92</v>
      </c>
      <c r="C99" s="215">
        <f t="shared" si="1"/>
        <v>0</v>
      </c>
      <c r="D99" s="215"/>
      <c r="E99" s="215"/>
      <c r="F99" s="215"/>
      <c r="G99" s="215"/>
      <c r="H99" s="215"/>
      <c r="I99" s="215"/>
      <c r="J99" s="215"/>
      <c r="K99" s="215">
        <f>159500-159500</f>
        <v>0</v>
      </c>
      <c r="L99" s="215">
        <f>13280+78930-92210</f>
        <v>0</v>
      </c>
    </row>
    <row r="100" spans="1:12" s="200" customFormat="1" ht="15.75" x14ac:dyDescent="0.25">
      <c r="A100" s="255" t="s">
        <v>271</v>
      </c>
      <c r="B100" s="214" t="s">
        <v>92</v>
      </c>
      <c r="C100" s="215">
        <f t="shared" si="1"/>
        <v>0</v>
      </c>
      <c r="D100" s="215"/>
      <c r="E100" s="215"/>
      <c r="F100" s="215"/>
      <c r="G100" s="215"/>
      <c r="H100" s="215"/>
      <c r="I100" s="215"/>
      <c r="J100" s="215"/>
      <c r="K100" s="215">
        <f>230910.4-230910.4+31609+137729-31609-137729</f>
        <v>0</v>
      </c>
      <c r="L100" s="215">
        <f>150600-150600+119835-119835+85205.44-85205.44</f>
        <v>0</v>
      </c>
    </row>
    <row r="101" spans="1:12" s="200" customFormat="1" ht="15.75" x14ac:dyDescent="0.25">
      <c r="A101" s="255" t="s">
        <v>300</v>
      </c>
      <c r="B101" s="214" t="s">
        <v>92</v>
      </c>
      <c r="C101" s="215">
        <f t="shared" si="1"/>
        <v>0</v>
      </c>
      <c r="D101" s="215"/>
      <c r="E101" s="215"/>
      <c r="F101" s="215"/>
      <c r="G101" s="215"/>
      <c r="H101" s="215"/>
      <c r="I101" s="215"/>
      <c r="J101" s="215"/>
      <c r="K101" s="215"/>
      <c r="L101" s="215"/>
    </row>
    <row r="102" spans="1:12" s="200" customFormat="1" ht="15.75" x14ac:dyDescent="0.25">
      <c r="A102" s="255" t="s">
        <v>272</v>
      </c>
      <c r="B102" s="214" t="s">
        <v>92</v>
      </c>
      <c r="C102" s="215">
        <f t="shared" si="1"/>
        <v>0</v>
      </c>
      <c r="D102" s="215"/>
      <c r="E102" s="215"/>
      <c r="F102" s="215"/>
      <c r="G102" s="215"/>
      <c r="H102" s="215"/>
      <c r="I102" s="215"/>
      <c r="J102" s="215"/>
      <c r="K102" s="215">
        <f>161051.59444-161051.59444</f>
        <v>0</v>
      </c>
      <c r="L102" s="215"/>
    </row>
    <row r="103" spans="1:12" s="200" customFormat="1" ht="15.75" x14ac:dyDescent="0.25">
      <c r="A103" s="218" t="s">
        <v>273</v>
      </c>
      <c r="B103" s="214" t="s">
        <v>92</v>
      </c>
      <c r="C103" s="215">
        <f t="shared" si="1"/>
        <v>0</v>
      </c>
      <c r="D103" s="215"/>
      <c r="E103" s="215"/>
      <c r="F103" s="215"/>
      <c r="G103" s="215"/>
      <c r="H103" s="215"/>
      <c r="I103" s="215"/>
      <c r="J103" s="215"/>
      <c r="K103" s="215">
        <f>17611.5044455-17611.5044455</f>
        <v>0</v>
      </c>
      <c r="L103" s="215"/>
    </row>
    <row r="104" spans="1:12" s="200" customFormat="1" ht="15.75" x14ac:dyDescent="0.25">
      <c r="A104" s="255" t="s">
        <v>274</v>
      </c>
      <c r="B104" s="214" t="s">
        <v>92</v>
      </c>
      <c r="C104" s="215">
        <f t="shared" si="1"/>
        <v>0</v>
      </c>
      <c r="D104" s="215"/>
      <c r="E104" s="215"/>
      <c r="F104" s="215"/>
      <c r="G104" s="215"/>
      <c r="H104" s="215"/>
      <c r="I104" s="215"/>
      <c r="J104" s="215"/>
      <c r="K104" s="215">
        <f>35735.12-35735.12</f>
        <v>0</v>
      </c>
      <c r="L104" s="215"/>
    </row>
    <row r="105" spans="1:12" s="200" customFormat="1" ht="15.75" x14ac:dyDescent="0.25">
      <c r="A105" s="255" t="s">
        <v>275</v>
      </c>
      <c r="B105" s="214" t="s">
        <v>92</v>
      </c>
      <c r="C105" s="215">
        <f t="shared" si="1"/>
        <v>31399.94</v>
      </c>
      <c r="D105" s="215"/>
      <c r="E105" s="215"/>
      <c r="F105" s="215"/>
      <c r="G105" s="215"/>
      <c r="H105" s="215"/>
      <c r="I105" s="215"/>
      <c r="J105" s="215"/>
      <c r="K105" s="215">
        <f>132435.36-132435.36</f>
        <v>0</v>
      </c>
      <c r="L105" s="215">
        <f>56592.8-56592.8+31399.94</f>
        <v>31399.94</v>
      </c>
    </row>
    <row r="106" spans="1:12" s="200" customFormat="1" ht="15.75" x14ac:dyDescent="0.25">
      <c r="A106" s="255" t="s">
        <v>294</v>
      </c>
      <c r="B106" s="214" t="s">
        <v>92</v>
      </c>
      <c r="C106" s="215">
        <f t="shared" si="1"/>
        <v>0</v>
      </c>
      <c r="D106" s="215"/>
      <c r="E106" s="215"/>
      <c r="F106" s="215"/>
      <c r="G106" s="215"/>
      <c r="H106" s="215"/>
      <c r="I106" s="215"/>
      <c r="J106" s="215"/>
      <c r="K106" s="215">
        <f>91875+71390-71390-91875+60400-60400</f>
        <v>0</v>
      </c>
      <c r="L106" s="215"/>
    </row>
    <row r="107" spans="1:12" s="200" customFormat="1" ht="15.75" x14ac:dyDescent="0.25">
      <c r="A107" s="255" t="s">
        <v>276</v>
      </c>
      <c r="B107" s="214" t="s">
        <v>92</v>
      </c>
      <c r="C107" s="215">
        <f t="shared" si="1"/>
        <v>0</v>
      </c>
      <c r="D107" s="215"/>
      <c r="E107" s="215"/>
      <c r="F107" s="215"/>
      <c r="G107" s="215"/>
      <c r="H107" s="215"/>
      <c r="I107" s="215"/>
      <c r="J107" s="215"/>
      <c r="K107" s="215">
        <f>25758-25758</f>
        <v>0</v>
      </c>
      <c r="L107" s="215"/>
    </row>
    <row r="108" spans="1:12" s="200" customFormat="1" ht="15.75" x14ac:dyDescent="0.25">
      <c r="A108" s="255" t="s">
        <v>277</v>
      </c>
      <c r="B108" s="214" t="s">
        <v>92</v>
      </c>
      <c r="C108" s="215">
        <f t="shared" si="1"/>
        <v>0</v>
      </c>
      <c r="D108" s="215"/>
      <c r="E108" s="215"/>
      <c r="F108" s="215"/>
      <c r="G108" s="215"/>
      <c r="H108" s="215"/>
      <c r="I108" s="215"/>
      <c r="J108" s="215"/>
      <c r="K108" s="215">
        <f>69710.37-69710.37</f>
        <v>0</v>
      </c>
      <c r="L108" s="215"/>
    </row>
    <row r="109" spans="1:12" s="200" customFormat="1" ht="15.75" x14ac:dyDescent="0.25">
      <c r="A109" s="255" t="s">
        <v>278</v>
      </c>
      <c r="B109" s="214" t="s">
        <v>92</v>
      </c>
      <c r="C109" s="215">
        <f t="shared" si="1"/>
        <v>7549</v>
      </c>
      <c r="D109" s="215"/>
      <c r="E109" s="215"/>
      <c r="F109" s="215"/>
      <c r="G109" s="215"/>
      <c r="H109" s="215"/>
      <c r="I109" s="215"/>
      <c r="J109" s="215"/>
      <c r="K109" s="215">
        <f>486875-486875+165076.7-165076.7</f>
        <v>0</v>
      </c>
      <c r="L109" s="215">
        <f>58168.3+56008.7-58168.3-56008.7+53454.2-53454.2+53454.2-53454.2+7549</f>
        <v>7549</v>
      </c>
    </row>
    <row r="110" spans="1:12" s="200" customFormat="1" ht="15.75" x14ac:dyDescent="0.25">
      <c r="A110" s="255" t="s">
        <v>279</v>
      </c>
      <c r="B110" s="214" t="s">
        <v>92</v>
      </c>
      <c r="C110" s="215">
        <f t="shared" si="1"/>
        <v>1144296</v>
      </c>
      <c r="D110" s="215"/>
      <c r="E110" s="215"/>
      <c r="F110" s="215"/>
      <c r="G110" s="215"/>
      <c r="H110" s="215"/>
      <c r="I110" s="215"/>
      <c r="J110" s="215"/>
      <c r="K110" s="215">
        <f>722395.66+23463.12+163566-722395.66-23463.12-163566+91745-91745+112196.76-112196.76+748806-748806+155023.92-155023.92+741453-741453+123251-123251+67260-67260+235823-235823</f>
        <v>0</v>
      </c>
      <c r="L110" s="215">
        <f>62776-62776+356610-356610+20001-20001+439390.7-439390.7+96982.83-96982.83+546833-546833+150000-150000+222423.2-222423.2+232578-232578+160464.8-160464.8+103740-103740+159100-159100+1410-1410+554541-554541+51110-51110+257476+51110-51110+849777.19+55338-55338+475330-475330+88100-88100-257476-849777.19+242910.7+261180+116870+281148.84-281148.84+147106.44-147106.44+28910+240235-620960.7+29000+524100-524100-28910-240235-29000+462585.82-462585.82+293889.6-293889.6+89795-89795+62400-62400+689347.7-689347.7+53400+527884+563012</f>
        <v>1144296</v>
      </c>
    </row>
    <row r="111" spans="1:12" s="200" customFormat="1" ht="15.75" x14ac:dyDescent="0.25">
      <c r="A111" s="255" t="s">
        <v>280</v>
      </c>
      <c r="B111" s="214" t="s">
        <v>92</v>
      </c>
      <c r="C111" s="215">
        <f t="shared" si="1"/>
        <v>0</v>
      </c>
      <c r="D111" s="215"/>
      <c r="E111" s="215"/>
      <c r="F111" s="215"/>
      <c r="G111" s="215"/>
      <c r="H111" s="215"/>
      <c r="I111" s="215"/>
      <c r="J111" s="215"/>
      <c r="K111" s="215">
        <f>152570-152570+241120.94-241120.94</f>
        <v>0</v>
      </c>
      <c r="L111" s="215"/>
    </row>
    <row r="112" spans="1:12" s="200" customFormat="1" ht="15.75" x14ac:dyDescent="0.25">
      <c r="A112" s="255" t="s">
        <v>281</v>
      </c>
      <c r="B112" s="214" t="s">
        <v>92</v>
      </c>
      <c r="C112" s="215">
        <f t="shared" si="1"/>
        <v>0</v>
      </c>
      <c r="D112" s="215"/>
      <c r="E112" s="215"/>
      <c r="F112" s="215"/>
      <c r="G112" s="215"/>
      <c r="H112" s="215"/>
      <c r="I112" s="215"/>
      <c r="J112" s="215"/>
      <c r="K112" s="215">
        <f>124218.8-124218.8</f>
        <v>0</v>
      </c>
      <c r="L112" s="215">
        <f>136549.6+379391.64-379391.64-136549.6</f>
        <v>0</v>
      </c>
    </row>
    <row r="113" spans="1:12" s="200" customFormat="1" ht="15.75" x14ac:dyDescent="0.25">
      <c r="A113" s="255" t="s">
        <v>282</v>
      </c>
      <c r="B113" s="214" t="s">
        <v>92</v>
      </c>
      <c r="C113" s="215">
        <f t="shared" si="1"/>
        <v>0</v>
      </c>
      <c r="D113" s="215"/>
      <c r="E113" s="215"/>
      <c r="F113" s="215"/>
      <c r="G113" s="215"/>
      <c r="H113" s="215"/>
      <c r="I113" s="215"/>
      <c r="J113" s="215"/>
      <c r="K113" s="215">
        <f>90000-90000</f>
        <v>0</v>
      </c>
      <c r="L113" s="215" t="s">
        <v>322</v>
      </c>
    </row>
    <row r="114" spans="1:12" s="200" customFormat="1" ht="15.75" x14ac:dyDescent="0.25">
      <c r="A114" s="255" t="s">
        <v>283</v>
      </c>
      <c r="B114" s="214" t="s">
        <v>92</v>
      </c>
      <c r="C114" s="215">
        <f t="shared" si="1"/>
        <v>0</v>
      </c>
      <c r="D114" s="215"/>
      <c r="E114" s="215"/>
      <c r="F114" s="215"/>
      <c r="G114" s="215"/>
      <c r="H114" s="215"/>
      <c r="I114" s="215"/>
      <c r="J114" s="215"/>
      <c r="K114" s="215">
        <f>66000-66000</f>
        <v>0</v>
      </c>
      <c r="L114" s="215"/>
    </row>
    <row r="115" spans="1:12" s="200" customFormat="1" ht="15.75" x14ac:dyDescent="0.25">
      <c r="A115" s="255" t="s">
        <v>284</v>
      </c>
      <c r="B115" s="214" t="s">
        <v>92</v>
      </c>
      <c r="C115" s="215">
        <f t="shared" si="1"/>
        <v>0</v>
      </c>
      <c r="D115" s="215"/>
      <c r="E115" s="215"/>
      <c r="F115" s="215"/>
      <c r="G115" s="215"/>
      <c r="H115" s="215"/>
      <c r="I115" s="215"/>
      <c r="J115" s="215"/>
      <c r="K115" s="215">
        <f>61950-61950</f>
        <v>0</v>
      </c>
      <c r="L115" s="215"/>
    </row>
    <row r="116" spans="1:12" s="200" customFormat="1" ht="15.75" x14ac:dyDescent="0.25">
      <c r="A116" s="255" t="s">
        <v>285</v>
      </c>
      <c r="B116" s="214" t="s">
        <v>92</v>
      </c>
      <c r="C116" s="215">
        <f t="shared" si="1"/>
        <v>0</v>
      </c>
      <c r="D116" s="215"/>
      <c r="E116" s="215"/>
      <c r="F116" s="215"/>
      <c r="G116" s="215"/>
      <c r="H116" s="215"/>
      <c r="I116" s="215"/>
      <c r="J116" s="215"/>
      <c r="K116" s="215">
        <f>68606.68-68606.68</f>
        <v>0</v>
      </c>
      <c r="L116" s="215"/>
    </row>
    <row r="117" spans="1:12" s="200" customFormat="1" ht="15.75" x14ac:dyDescent="0.25">
      <c r="A117" s="255" t="s">
        <v>286</v>
      </c>
      <c r="B117" s="214" t="s">
        <v>92</v>
      </c>
      <c r="C117" s="215">
        <f>SUM(D117:L117)</f>
        <v>0</v>
      </c>
      <c r="D117" s="215"/>
      <c r="E117" s="215"/>
      <c r="F117" s="215"/>
      <c r="G117" s="215"/>
      <c r="H117" s="215"/>
      <c r="I117" s="215"/>
      <c r="J117" s="215"/>
      <c r="K117" s="215">
        <f>180000-180000+617000-617000</f>
        <v>0</v>
      </c>
      <c r="L117" s="215">
        <f>433675-433675+314350-314350</f>
        <v>0</v>
      </c>
    </row>
    <row r="118" spans="1:12" s="2" customFormat="1" ht="15.75" x14ac:dyDescent="0.25">
      <c r="A118" s="255" t="s">
        <v>287</v>
      </c>
      <c r="B118" s="214" t="s">
        <v>92</v>
      </c>
      <c r="C118" s="215">
        <f t="shared" si="1"/>
        <v>0</v>
      </c>
      <c r="D118" s="215"/>
      <c r="E118" s="215"/>
      <c r="F118" s="215"/>
      <c r="G118" s="215"/>
      <c r="H118" s="215"/>
      <c r="I118" s="215"/>
      <c r="J118" s="215"/>
      <c r="K118" s="215">
        <f>28999.99-28999.99</f>
        <v>0</v>
      </c>
      <c r="L118" s="215"/>
    </row>
    <row r="119" spans="1:12" s="200" customFormat="1" ht="15.75" x14ac:dyDescent="0.25">
      <c r="A119" s="255" t="s">
        <v>288</v>
      </c>
      <c r="B119" s="214" t="s">
        <v>92</v>
      </c>
      <c r="C119" s="215">
        <f t="shared" si="1"/>
        <v>5.4569682106375694E-12</v>
      </c>
      <c r="D119" s="215"/>
      <c r="E119" s="215"/>
      <c r="F119" s="215"/>
      <c r="G119" s="215"/>
      <c r="H119" s="215"/>
      <c r="I119" s="215"/>
      <c r="J119" s="215"/>
      <c r="K119" s="215">
        <f>106835+2690.99-106835-2690.99</f>
        <v>5.4569682106375694E-12</v>
      </c>
      <c r="L119" s="215">
        <f>106756-106756+106835+72258-106835-72258</f>
        <v>0</v>
      </c>
    </row>
    <row r="120" spans="1:12" s="200" customFormat="1" ht="15.75" x14ac:dyDescent="0.25">
      <c r="A120" s="255" t="s">
        <v>289</v>
      </c>
      <c r="B120" s="214" t="s">
        <v>92</v>
      </c>
      <c r="C120" s="215">
        <f t="shared" si="1"/>
        <v>0</v>
      </c>
      <c r="D120" s="215"/>
      <c r="E120" s="215"/>
      <c r="F120" s="215"/>
      <c r="G120" s="215"/>
      <c r="H120" s="215"/>
      <c r="I120" s="215"/>
      <c r="J120" s="215"/>
      <c r="K120" s="215">
        <f>24342.34-24342.34</f>
        <v>0</v>
      </c>
      <c r="L120" s="215">
        <f>24342.34+33061-24342.34-33061</f>
        <v>0</v>
      </c>
    </row>
    <row r="121" spans="1:12" s="200" customFormat="1" ht="15.75" x14ac:dyDescent="0.25">
      <c r="A121" s="255" t="s">
        <v>290</v>
      </c>
      <c r="B121" s="214" t="s">
        <v>92</v>
      </c>
      <c r="C121" s="215">
        <f t="shared" si="1"/>
        <v>0</v>
      </c>
      <c r="D121" s="215"/>
      <c r="E121" s="215"/>
      <c r="F121" s="215"/>
      <c r="G121" s="215"/>
      <c r="H121" s="215"/>
      <c r="I121" s="215"/>
      <c r="J121" s="215"/>
      <c r="K121" s="215">
        <f>123900-123900</f>
        <v>0</v>
      </c>
      <c r="L121" s="215">
        <f>42480-42480+42480-42480</f>
        <v>0</v>
      </c>
    </row>
    <row r="122" spans="1:12" s="200" customFormat="1" ht="15.75" x14ac:dyDescent="0.25">
      <c r="A122" s="255" t="s">
        <v>291</v>
      </c>
      <c r="B122" s="214" t="s">
        <v>92</v>
      </c>
      <c r="C122" s="215">
        <f t="shared" si="1"/>
        <v>0</v>
      </c>
      <c r="D122" s="215"/>
      <c r="E122" s="215"/>
      <c r="F122" s="215"/>
      <c r="G122" s="215"/>
      <c r="H122" s="215"/>
      <c r="I122" s="215"/>
      <c r="J122" s="215"/>
      <c r="K122" s="215">
        <f>24000-24000</f>
        <v>0</v>
      </c>
      <c r="L122" s="215"/>
    </row>
    <row r="123" spans="1:12" s="200" customFormat="1" ht="15.75" x14ac:dyDescent="0.25">
      <c r="A123" s="218" t="s">
        <v>292</v>
      </c>
      <c r="B123" s="214" t="s">
        <v>92</v>
      </c>
      <c r="C123" s="215">
        <f t="shared" si="1"/>
        <v>0</v>
      </c>
      <c r="D123" s="215"/>
      <c r="E123" s="215"/>
      <c r="F123" s="215"/>
      <c r="G123" s="215"/>
      <c r="H123" s="215"/>
      <c r="I123" s="215"/>
      <c r="J123" s="215"/>
      <c r="K123" s="215">
        <f>164659.56-164659.56</f>
        <v>0</v>
      </c>
      <c r="L123" s="215"/>
    </row>
    <row r="124" spans="1:12" s="200" customFormat="1" ht="15.75" x14ac:dyDescent="0.25">
      <c r="A124" s="218" t="s">
        <v>293</v>
      </c>
      <c r="B124" s="214" t="s">
        <v>92</v>
      </c>
      <c r="C124" s="215">
        <f t="shared" si="1"/>
        <v>49843.199999999997</v>
      </c>
      <c r="D124" s="215"/>
      <c r="E124" s="215"/>
      <c r="F124" s="215"/>
      <c r="G124" s="215"/>
      <c r="H124" s="215"/>
      <c r="I124" s="215"/>
      <c r="J124" s="215"/>
      <c r="K124" s="215">
        <f>51477.5-51477.5</f>
        <v>0</v>
      </c>
      <c r="L124" s="215">
        <v>49843.199999999997</v>
      </c>
    </row>
    <row r="125" spans="1:12" s="200" customFormat="1" ht="15.75" x14ac:dyDescent="0.25">
      <c r="A125" s="218" t="s">
        <v>295</v>
      </c>
      <c r="B125" s="214" t="s">
        <v>92</v>
      </c>
      <c r="C125" s="215">
        <f t="shared" ref="C125:C131" si="2">SUM(D125:L125)</f>
        <v>0</v>
      </c>
      <c r="D125" s="215"/>
      <c r="E125" s="215"/>
      <c r="F125" s="215"/>
      <c r="G125" s="215"/>
      <c r="H125" s="215"/>
      <c r="I125" s="215"/>
      <c r="J125" s="215"/>
      <c r="K125" s="215"/>
      <c r="L125" s="215">
        <f>109717.2-109717.2</f>
        <v>0</v>
      </c>
    </row>
    <row r="126" spans="1:12" s="200" customFormat="1" ht="15.75" x14ac:dyDescent="0.25">
      <c r="A126" s="218" t="s">
        <v>296</v>
      </c>
      <c r="B126" s="214" t="s">
        <v>92</v>
      </c>
      <c r="C126" s="215">
        <f t="shared" si="2"/>
        <v>300000</v>
      </c>
      <c r="D126" s="215"/>
      <c r="E126" s="215"/>
      <c r="F126" s="215"/>
      <c r="G126" s="215"/>
      <c r="H126" s="215"/>
      <c r="I126" s="215"/>
      <c r="J126" s="215"/>
      <c r="K126" s="215"/>
      <c r="L126" s="215">
        <f>300000+300000-300000-300000+300000+300000-300000</f>
        <v>300000</v>
      </c>
    </row>
    <row r="127" spans="1:12" s="200" customFormat="1" ht="15.75" x14ac:dyDescent="0.25">
      <c r="A127" s="255" t="s">
        <v>298</v>
      </c>
      <c r="B127" s="214" t="s">
        <v>92</v>
      </c>
      <c r="C127" s="215">
        <f t="shared" si="2"/>
        <v>0</v>
      </c>
      <c r="D127" s="215"/>
      <c r="E127" s="215"/>
      <c r="F127" s="215"/>
      <c r="G127" s="215"/>
      <c r="H127" s="215"/>
      <c r="I127" s="215"/>
      <c r="J127" s="215"/>
      <c r="K127" s="215"/>
      <c r="L127" s="215">
        <f>129612.85-129612.85+389449.56-389449.56</f>
        <v>0</v>
      </c>
    </row>
    <row r="128" spans="1:12" s="200" customFormat="1" ht="15.75" x14ac:dyDescent="0.25">
      <c r="A128" s="255" t="s">
        <v>299</v>
      </c>
      <c r="B128" s="214" t="s">
        <v>92</v>
      </c>
      <c r="C128" s="215">
        <f t="shared" si="2"/>
        <v>0</v>
      </c>
      <c r="D128" s="215"/>
      <c r="E128" s="215"/>
      <c r="F128" s="215"/>
      <c r="G128" s="215"/>
      <c r="H128" s="215"/>
      <c r="I128" s="215"/>
      <c r="J128" s="215"/>
      <c r="K128" s="215"/>
      <c r="L128" s="215">
        <f>4000-4000+165000-165000+226000-226000</f>
        <v>0</v>
      </c>
    </row>
    <row r="129" spans="1:12" s="200" customFormat="1" ht="15.75" x14ac:dyDescent="0.25">
      <c r="A129" s="218" t="s">
        <v>301</v>
      </c>
      <c r="B129" s="214" t="s">
        <v>92</v>
      </c>
      <c r="C129" s="215">
        <f t="shared" si="2"/>
        <v>0</v>
      </c>
      <c r="D129" s="215"/>
      <c r="E129" s="215"/>
      <c r="F129" s="215"/>
      <c r="G129" s="215"/>
      <c r="H129" s="215"/>
      <c r="I129" s="215"/>
      <c r="J129" s="215"/>
      <c r="K129" s="215"/>
      <c r="L129" s="215">
        <f>32213.92-32213.92+209691.37-209691.37+83240.02-83240.02</f>
        <v>0</v>
      </c>
    </row>
    <row r="130" spans="1:12" s="200" customFormat="1" ht="15.75" x14ac:dyDescent="0.25">
      <c r="A130" s="218" t="s">
        <v>304</v>
      </c>
      <c r="B130" s="214" t="s">
        <v>92</v>
      </c>
      <c r="C130" s="215">
        <f t="shared" si="2"/>
        <v>0</v>
      </c>
      <c r="D130" s="215"/>
      <c r="E130" s="215"/>
      <c r="F130" s="215"/>
      <c r="G130" s="215"/>
      <c r="H130" s="215"/>
      <c r="I130" s="215"/>
      <c r="J130" s="215"/>
      <c r="K130" s="215"/>
      <c r="L130" s="215">
        <f>23836-23836</f>
        <v>0</v>
      </c>
    </row>
    <row r="131" spans="1:12" s="200" customFormat="1" ht="15.75" x14ac:dyDescent="0.25">
      <c r="A131" s="218" t="s">
        <v>305</v>
      </c>
      <c r="B131" s="214" t="s">
        <v>92</v>
      </c>
      <c r="C131" s="215">
        <f t="shared" si="2"/>
        <v>0</v>
      </c>
      <c r="D131" s="215"/>
      <c r="E131" s="215"/>
      <c r="F131" s="215"/>
      <c r="G131" s="215"/>
      <c r="H131" s="215"/>
      <c r="I131" s="215"/>
      <c r="J131" s="215"/>
      <c r="K131" s="215"/>
      <c r="L131" s="215">
        <f>49088-49088+21476+85000+73500-179976+60000-60000</f>
        <v>0</v>
      </c>
    </row>
    <row r="132" spans="1:12" s="200" customFormat="1" x14ac:dyDescent="0.25">
      <c r="A132" s="268" t="s">
        <v>306</v>
      </c>
      <c r="B132" s="214" t="s">
        <v>92</v>
      </c>
      <c r="C132" s="215">
        <f t="shared" ref="C132:C150" si="3">SUM(D132:L132)</f>
        <v>0</v>
      </c>
      <c r="D132" s="215"/>
      <c r="E132" s="215"/>
      <c r="F132" s="215"/>
      <c r="G132" s="215"/>
      <c r="H132" s="215"/>
      <c r="I132" s="215"/>
      <c r="J132" s="215"/>
      <c r="K132" s="215"/>
      <c r="L132" s="215">
        <f>97550-97550+108050-108050</f>
        <v>0</v>
      </c>
    </row>
    <row r="133" spans="1:12" s="200" customFormat="1" x14ac:dyDescent="0.25">
      <c r="A133" s="268" t="s">
        <v>307</v>
      </c>
      <c r="B133" s="214" t="s">
        <v>92</v>
      </c>
      <c r="C133" s="215">
        <f t="shared" si="3"/>
        <v>0</v>
      </c>
      <c r="D133" s="215"/>
      <c r="E133" s="215"/>
      <c r="F133" s="215"/>
      <c r="G133" s="215"/>
      <c r="H133" s="215"/>
      <c r="I133" s="215"/>
      <c r="J133" s="215"/>
      <c r="K133" s="215"/>
      <c r="L133" s="215">
        <f>25606-25606</f>
        <v>0</v>
      </c>
    </row>
    <row r="134" spans="1:12" s="200" customFormat="1" ht="15.75" x14ac:dyDescent="0.25">
      <c r="A134" s="255" t="s">
        <v>308</v>
      </c>
      <c r="B134" s="214" t="s">
        <v>92</v>
      </c>
      <c r="C134" s="215">
        <f t="shared" si="3"/>
        <v>0</v>
      </c>
      <c r="D134" s="215"/>
      <c r="E134" s="215"/>
      <c r="F134" s="215"/>
      <c r="G134" s="215"/>
      <c r="H134" s="215"/>
      <c r="I134" s="215"/>
      <c r="J134" s="215"/>
      <c r="K134" s="215"/>
      <c r="L134" s="215">
        <f>57000+57000+57000-57000-57000-57000</f>
        <v>0</v>
      </c>
    </row>
    <row r="135" spans="1:12" s="200" customFormat="1" ht="15.75" x14ac:dyDescent="0.25">
      <c r="A135" s="255" t="s">
        <v>309</v>
      </c>
      <c r="B135" s="214" t="s">
        <v>92</v>
      </c>
      <c r="C135" s="215">
        <f t="shared" si="3"/>
        <v>0</v>
      </c>
      <c r="D135" s="215"/>
      <c r="E135" s="215"/>
      <c r="F135" s="215"/>
      <c r="G135" s="215"/>
      <c r="H135" s="215"/>
      <c r="I135" s="215"/>
      <c r="J135" s="215"/>
      <c r="K135" s="215"/>
      <c r="L135" s="215">
        <f>106495-106495</f>
        <v>0</v>
      </c>
    </row>
    <row r="136" spans="1:12" s="200" customFormat="1" ht="15.75" x14ac:dyDescent="0.25">
      <c r="A136" s="255" t="s">
        <v>312</v>
      </c>
      <c r="B136" s="214" t="s">
        <v>92</v>
      </c>
      <c r="C136" s="215">
        <f t="shared" si="3"/>
        <v>94551.039999999994</v>
      </c>
      <c r="D136" s="215"/>
      <c r="E136" s="215"/>
      <c r="F136" s="215"/>
      <c r="G136" s="215"/>
      <c r="H136" s="215"/>
      <c r="I136" s="215"/>
      <c r="J136" s="215"/>
      <c r="K136" s="215"/>
      <c r="L136" s="215">
        <f>28813.52-28813.52+197060-197060+233640+269781.04-233640-269781.04+37844.96-37844.96+94551.04</f>
        <v>94551.039999999994</v>
      </c>
    </row>
    <row r="137" spans="1:12" s="200" customFormat="1" ht="15.75" x14ac:dyDescent="0.25">
      <c r="A137" s="255" t="s">
        <v>313</v>
      </c>
      <c r="B137" s="214" t="s">
        <v>92</v>
      </c>
      <c r="C137" s="215">
        <f t="shared" si="3"/>
        <v>0</v>
      </c>
      <c r="D137" s="215"/>
      <c r="E137" s="215"/>
      <c r="F137" s="215"/>
      <c r="G137" s="215"/>
      <c r="H137" s="215"/>
      <c r="I137" s="215"/>
      <c r="J137" s="215"/>
      <c r="K137" s="215"/>
      <c r="L137" s="215">
        <f>6663.12-6663.12</f>
        <v>0</v>
      </c>
    </row>
    <row r="138" spans="1:12" s="200" customFormat="1" ht="15.75" x14ac:dyDescent="0.25">
      <c r="A138" s="255" t="s">
        <v>314</v>
      </c>
      <c r="B138" s="214" t="s">
        <v>92</v>
      </c>
      <c r="C138" s="215">
        <f t="shared" si="3"/>
        <v>128590</v>
      </c>
      <c r="D138" s="215"/>
      <c r="E138" s="215"/>
      <c r="F138" s="215"/>
      <c r="G138" s="215"/>
      <c r="H138" s="215"/>
      <c r="I138" s="215"/>
      <c r="J138" s="215"/>
      <c r="K138" s="215"/>
      <c r="L138" s="215">
        <f>72000+91425+135350-17000-281775+57600+50900-57600-50900+70700+42590+15300</f>
        <v>128590</v>
      </c>
    </row>
    <row r="139" spans="1:12" s="200" customFormat="1" ht="15.75" x14ac:dyDescent="0.25">
      <c r="A139" s="255" t="s">
        <v>315</v>
      </c>
      <c r="B139" s="214" t="s">
        <v>92</v>
      </c>
      <c r="C139" s="215">
        <f t="shared" si="3"/>
        <v>0</v>
      </c>
      <c r="D139" s="215"/>
      <c r="E139" s="215"/>
      <c r="F139" s="215"/>
      <c r="G139" s="215"/>
      <c r="H139" s="215"/>
      <c r="I139" s="215"/>
      <c r="J139" s="215"/>
      <c r="K139" s="215"/>
      <c r="L139" s="215">
        <f>130000-130000</f>
        <v>0</v>
      </c>
    </row>
    <row r="140" spans="1:12" s="200" customFormat="1" ht="15.75" x14ac:dyDescent="0.25">
      <c r="A140" s="255" t="s">
        <v>320</v>
      </c>
      <c r="B140" s="214" t="s">
        <v>92</v>
      </c>
      <c r="C140" s="215">
        <f t="shared" si="3"/>
        <v>0</v>
      </c>
      <c r="D140" s="215"/>
      <c r="E140" s="215"/>
      <c r="F140" s="215"/>
      <c r="G140" s="215"/>
      <c r="H140" s="215"/>
      <c r="I140" s="215"/>
      <c r="J140" s="215"/>
      <c r="K140" s="215"/>
      <c r="L140" s="215">
        <f>34600+27300-34600-27300</f>
        <v>0</v>
      </c>
    </row>
    <row r="141" spans="1:12" s="200" customFormat="1" ht="15.75" x14ac:dyDescent="0.25">
      <c r="A141" s="255" t="s">
        <v>319</v>
      </c>
      <c r="B141" s="214" t="s">
        <v>92</v>
      </c>
      <c r="C141" s="215">
        <f t="shared" si="3"/>
        <v>0</v>
      </c>
      <c r="D141" s="215"/>
      <c r="E141" s="215"/>
      <c r="F141" s="215"/>
      <c r="G141" s="215"/>
      <c r="H141" s="215"/>
      <c r="I141" s="215"/>
      <c r="J141" s="215"/>
      <c r="K141" s="215"/>
      <c r="L141" s="215">
        <f>146733-146733</f>
        <v>0</v>
      </c>
    </row>
    <row r="142" spans="1:12" s="200" customFormat="1" ht="15.75" x14ac:dyDescent="0.25">
      <c r="A142" s="255" t="s">
        <v>321</v>
      </c>
      <c r="B142" s="214" t="s">
        <v>92</v>
      </c>
      <c r="C142" s="215">
        <f t="shared" si="3"/>
        <v>0</v>
      </c>
      <c r="D142" s="215"/>
      <c r="E142" s="215"/>
      <c r="F142" s="215"/>
      <c r="G142" s="215"/>
      <c r="H142" s="215"/>
      <c r="I142" s="215"/>
      <c r="J142" s="215"/>
      <c r="K142" s="215"/>
      <c r="L142" s="215">
        <f>27500-27500</f>
        <v>0</v>
      </c>
    </row>
    <row r="143" spans="1:12" s="200" customFormat="1" ht="15.75" x14ac:dyDescent="0.25">
      <c r="A143" s="255" t="s">
        <v>323</v>
      </c>
      <c r="B143" s="214" t="s">
        <v>92</v>
      </c>
      <c r="C143" s="215">
        <f t="shared" si="3"/>
        <v>18500</v>
      </c>
      <c r="D143" s="215"/>
      <c r="E143" s="215"/>
      <c r="F143" s="215"/>
      <c r="G143" s="215"/>
      <c r="H143" s="215"/>
      <c r="I143" s="215"/>
      <c r="J143" s="215"/>
      <c r="K143" s="215"/>
      <c r="L143" s="215">
        <f>18500+18500-18500</f>
        <v>18500</v>
      </c>
    </row>
    <row r="144" spans="1:12" s="200" customFormat="1" ht="15.75" x14ac:dyDescent="0.25">
      <c r="A144" s="255" t="str">
        <f>[1]RELACION!B151</f>
        <v>Corporea RD, SRL</v>
      </c>
      <c r="B144" s="214" t="s">
        <v>92</v>
      </c>
      <c r="C144" s="215">
        <f t="shared" si="3"/>
        <v>0</v>
      </c>
      <c r="D144" s="215"/>
      <c r="E144" s="215"/>
      <c r="F144" s="215"/>
      <c r="G144" s="215"/>
      <c r="H144" s="215"/>
      <c r="I144" s="215"/>
      <c r="J144" s="215"/>
      <c r="K144" s="215"/>
      <c r="L144" s="215">
        <f>23600-23600</f>
        <v>0</v>
      </c>
    </row>
    <row r="145" spans="1:12" s="200" customFormat="1" ht="15.75" x14ac:dyDescent="0.25">
      <c r="A145" s="255" t="str">
        <f>[1]RELACION!B152</f>
        <v>Brenmarfa Import, SRL</v>
      </c>
      <c r="B145" s="214" t="s">
        <v>92</v>
      </c>
      <c r="C145" s="215">
        <f t="shared" si="3"/>
        <v>335741.29999999993</v>
      </c>
      <c r="D145" s="215"/>
      <c r="E145" s="215"/>
      <c r="F145" s="215"/>
      <c r="G145" s="215"/>
      <c r="H145" s="215"/>
      <c r="I145" s="215"/>
      <c r="J145" s="215"/>
      <c r="K145" s="215"/>
      <c r="L145" s="215">
        <f>125718+33942.7+153220.65-125718-33942.7+153220.65+29300</f>
        <v>335741.29999999993</v>
      </c>
    </row>
    <row r="146" spans="1:12" s="200" customFormat="1" ht="15.75" x14ac:dyDescent="0.25">
      <c r="A146" s="255" t="s">
        <v>324</v>
      </c>
      <c r="B146" s="214" t="s">
        <v>92</v>
      </c>
      <c r="C146" s="215">
        <f t="shared" si="3"/>
        <v>0</v>
      </c>
      <c r="D146" s="215"/>
      <c r="E146" s="215"/>
      <c r="F146" s="215"/>
      <c r="G146" s="215"/>
      <c r="H146" s="215"/>
      <c r="I146" s="215"/>
      <c r="J146" s="215"/>
      <c r="K146" s="215"/>
      <c r="L146" s="215">
        <f>59590-59590</f>
        <v>0</v>
      </c>
    </row>
    <row r="147" spans="1:12" s="200" customFormat="1" ht="15.75" x14ac:dyDescent="0.25">
      <c r="A147" s="255" t="s">
        <v>325</v>
      </c>
      <c r="B147" s="214" t="s">
        <v>92</v>
      </c>
      <c r="C147" s="215">
        <f t="shared" si="3"/>
        <v>7500</v>
      </c>
      <c r="D147" s="215"/>
      <c r="E147" s="215"/>
      <c r="F147" s="215"/>
      <c r="G147" s="215"/>
      <c r="H147" s="215"/>
      <c r="I147" s="215"/>
      <c r="J147" s="215"/>
      <c r="K147" s="215"/>
      <c r="L147" s="215">
        <v>7500</v>
      </c>
    </row>
    <row r="148" spans="1:12" s="200" customFormat="1" ht="15.75" x14ac:dyDescent="0.25">
      <c r="A148" s="255"/>
      <c r="B148" s="214" t="s">
        <v>92</v>
      </c>
      <c r="C148" s="215">
        <f t="shared" si="3"/>
        <v>0</v>
      </c>
      <c r="D148" s="215"/>
      <c r="E148" s="215"/>
      <c r="F148" s="215"/>
      <c r="G148" s="215"/>
      <c r="H148" s="215"/>
      <c r="I148" s="215"/>
      <c r="J148" s="215"/>
      <c r="K148" s="215"/>
      <c r="L148" s="215"/>
    </row>
    <row r="149" spans="1:12" s="200" customFormat="1" ht="15.75" x14ac:dyDescent="0.25">
      <c r="A149" s="255"/>
      <c r="B149" s="214" t="s">
        <v>92</v>
      </c>
      <c r="C149" s="215">
        <f t="shared" si="3"/>
        <v>0</v>
      </c>
      <c r="D149" s="215"/>
      <c r="E149" s="215"/>
      <c r="F149" s="215"/>
      <c r="G149" s="215"/>
      <c r="H149" s="215"/>
      <c r="I149" s="215"/>
      <c r="J149" s="215"/>
      <c r="K149" s="215"/>
      <c r="L149" s="215"/>
    </row>
    <row r="150" spans="1:12" s="200" customFormat="1" ht="15.75" x14ac:dyDescent="0.25">
      <c r="A150" s="255"/>
      <c r="B150" s="214" t="s">
        <v>92</v>
      </c>
      <c r="C150" s="215">
        <f t="shared" si="3"/>
        <v>0</v>
      </c>
      <c r="D150" s="215"/>
      <c r="E150" s="215"/>
      <c r="F150" s="215"/>
      <c r="G150" s="215"/>
      <c r="H150" s="215"/>
      <c r="I150" s="215"/>
      <c r="J150" s="215"/>
      <c r="K150" s="215"/>
      <c r="L150" s="215"/>
    </row>
    <row r="151" spans="1:12" s="2" customFormat="1" ht="15.75" x14ac:dyDescent="0.25">
      <c r="A151" s="219" t="s">
        <v>15</v>
      </c>
      <c r="B151" s="224" t="s">
        <v>92</v>
      </c>
      <c r="C151" s="223">
        <f>SUM(C7:C150)</f>
        <v>10379494.34</v>
      </c>
      <c r="D151" s="223">
        <f>SUM(D7:D150)</f>
        <v>1035572.65</v>
      </c>
      <c r="E151" s="223">
        <f t="shared" ref="E151:K151" si="4">SUM(E7:E150)</f>
        <v>221540.06</v>
      </c>
      <c r="F151" s="223">
        <f t="shared" si="4"/>
        <v>728101.23</v>
      </c>
      <c r="G151" s="223">
        <f t="shared" si="4"/>
        <v>337374</v>
      </c>
      <c r="H151" s="223">
        <f t="shared" si="4"/>
        <v>0</v>
      </c>
      <c r="I151" s="223">
        <f t="shared" si="4"/>
        <v>139066.70000000001</v>
      </c>
      <c r="J151" s="223">
        <f t="shared" si="4"/>
        <v>913425.32999999961</v>
      </c>
      <c r="K151" s="223">
        <f t="shared" si="4"/>
        <v>1570709.5200000003</v>
      </c>
      <c r="L151" s="223">
        <f>SUM(L7:L150)</f>
        <v>5433704.8499999996</v>
      </c>
    </row>
    <row r="152" spans="1:12" s="2" customFormat="1" ht="15.75" x14ac:dyDescent="0.25">
      <c r="A152" s="207"/>
      <c r="B152" s="207"/>
      <c r="C152" s="266">
        <f>+'Deuda por Objeto'!C44-'Deuda Por suplidor '!C151</f>
        <v>-6.8550184369087219E-4</v>
      </c>
      <c r="D152" s="203"/>
      <c r="E152" s="204"/>
      <c r="F152" s="204"/>
      <c r="G152" s="204"/>
      <c r="H152" s="204"/>
      <c r="I152" s="200"/>
      <c r="J152" s="200"/>
      <c r="K152" s="200"/>
      <c r="L152" s="200"/>
    </row>
    <row r="153" spans="1:12" s="2" customFormat="1" x14ac:dyDescent="0.25">
      <c r="A153" s="264"/>
      <c r="B153" s="264"/>
      <c r="C153" s="203"/>
      <c r="D153" s="203"/>
      <c r="E153" s="204"/>
      <c r="F153" s="204"/>
      <c r="G153" s="204"/>
      <c r="H153" s="204"/>
      <c r="I153" s="209"/>
      <c r="J153" s="209"/>
      <c r="K153" s="200"/>
      <c r="L153" s="200"/>
    </row>
    <row r="154" spans="1:12" s="2" customFormat="1" x14ac:dyDescent="0.25">
      <c r="A154" s="264"/>
      <c r="B154" s="264"/>
      <c r="C154" s="203" t="s">
        <v>30</v>
      </c>
      <c r="D154" s="203"/>
      <c r="E154" s="204"/>
      <c r="F154" s="204"/>
      <c r="G154" s="204"/>
      <c r="H154" s="204"/>
      <c r="I154" s="209"/>
      <c r="J154" s="209"/>
      <c r="K154" s="200"/>
      <c r="L154" s="200"/>
    </row>
    <row r="155" spans="1:12" s="2" customFormat="1" x14ac:dyDescent="0.25">
      <c r="A155" s="264"/>
      <c r="B155" s="264"/>
      <c r="C155" s="203"/>
      <c r="D155" s="203" t="s">
        <v>30</v>
      </c>
      <c r="E155" s="204"/>
      <c r="F155" s="204"/>
      <c r="G155" s="204"/>
      <c r="H155" s="204"/>
      <c r="I155" s="209"/>
      <c r="J155" s="209"/>
      <c r="K155" s="200"/>
      <c r="L155" s="200"/>
    </row>
    <row r="156" spans="1:12" s="2" customFormat="1" x14ac:dyDescent="0.25">
      <c r="A156" s="264"/>
      <c r="B156" s="264"/>
      <c r="C156" s="203"/>
      <c r="D156" s="203"/>
      <c r="E156" s="204"/>
      <c r="F156" s="204"/>
      <c r="G156" s="204"/>
      <c r="H156" s="204"/>
      <c r="I156" s="209"/>
      <c r="J156" s="209"/>
      <c r="K156" s="200"/>
      <c r="L156" s="200"/>
    </row>
    <row r="157" spans="1:12" s="2" customFormat="1" x14ac:dyDescent="0.25">
      <c r="A157" s="264"/>
      <c r="B157" s="264"/>
      <c r="C157" s="203"/>
      <c r="D157" s="203"/>
      <c r="E157" s="204"/>
      <c r="F157" s="204"/>
      <c r="G157" s="204"/>
      <c r="H157" s="204"/>
      <c r="I157" s="200"/>
      <c r="J157" s="200"/>
      <c r="K157" s="200"/>
      <c r="L157" s="200"/>
    </row>
    <row r="158" spans="1:12" s="2" customFormat="1" x14ac:dyDescent="0.25">
      <c r="A158" s="264"/>
      <c r="B158" s="264"/>
      <c r="C158" s="203"/>
      <c r="D158" s="203"/>
      <c r="E158" s="205"/>
      <c r="F158" s="204"/>
      <c r="G158" s="204"/>
      <c r="H158" s="204"/>
      <c r="I158" s="200"/>
      <c r="J158" s="200"/>
      <c r="K158" s="200"/>
      <c r="L158" s="200"/>
    </row>
    <row r="159" spans="1:12" s="2" customFormat="1" x14ac:dyDescent="0.25">
      <c r="A159" s="264"/>
      <c r="B159" s="264"/>
      <c r="C159" s="205"/>
      <c r="D159" s="205"/>
      <c r="E159" s="200"/>
      <c r="F159" s="205"/>
      <c r="G159" s="205"/>
      <c r="H159" s="205"/>
      <c r="I159" s="200"/>
      <c r="J159" s="200"/>
      <c r="K159" s="200"/>
      <c r="L159" s="200"/>
    </row>
    <row r="160" spans="1:12" s="2" customFormat="1" ht="20.25" x14ac:dyDescent="0.55000000000000004">
      <c r="A160" s="249" t="s">
        <v>227</v>
      </c>
      <c r="B160" s="205"/>
      <c r="C160" s="302" t="s">
        <v>228</v>
      </c>
      <c r="D160" s="302"/>
      <c r="E160" s="302"/>
      <c r="F160" s="303" t="s">
        <v>229</v>
      </c>
      <c r="G160" s="303"/>
      <c r="H160" s="303"/>
      <c r="I160" s="303"/>
      <c r="J160" s="200"/>
      <c r="K160" s="200"/>
      <c r="L160" s="200"/>
    </row>
    <row r="161" spans="1:12" s="2" customFormat="1" x14ac:dyDescent="0.25">
      <c r="A161" s="200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</row>
    <row r="162" spans="1:12" s="2" customFormat="1" x14ac:dyDescent="0.25">
      <c r="A162" s="202"/>
      <c r="B162" s="202"/>
      <c r="C162" s="200"/>
      <c r="D162" s="200"/>
      <c r="E162" s="200"/>
      <c r="F162" s="200"/>
      <c r="G162" s="200"/>
      <c r="H162" s="200"/>
      <c r="I162" s="225"/>
      <c r="J162" s="225"/>
      <c r="K162" s="225"/>
      <c r="L162" s="200"/>
    </row>
    <row r="163" spans="1:12" x14ac:dyDescent="0.25">
      <c r="A163" s="202"/>
      <c r="B163" s="202"/>
      <c r="C163" s="200"/>
      <c r="D163" s="200"/>
      <c r="E163" s="225"/>
      <c r="F163" s="200"/>
      <c r="G163" s="200"/>
      <c r="H163" s="200"/>
      <c r="I163" s="225"/>
      <c r="J163" s="225"/>
      <c r="K163" s="225"/>
      <c r="L163" s="200"/>
    </row>
    <row r="164" spans="1:12" x14ac:dyDescent="0.25">
      <c r="A164" s="200"/>
      <c r="B164" s="200"/>
      <c r="C164" s="200"/>
      <c r="D164" s="200"/>
      <c r="E164" s="200"/>
      <c r="F164" s="200"/>
      <c r="G164" s="200"/>
      <c r="H164" s="200"/>
      <c r="I164" s="200"/>
      <c r="J164" s="200"/>
      <c r="K164" s="200"/>
      <c r="L164" s="225"/>
    </row>
    <row r="165" spans="1:12" x14ac:dyDescent="0.25">
      <c r="A165" s="202"/>
      <c r="B165" s="202"/>
      <c r="C165" s="200"/>
      <c r="D165" s="200"/>
      <c r="E165" s="200"/>
      <c r="F165" s="200"/>
      <c r="G165" s="200"/>
      <c r="H165" s="200"/>
      <c r="I165" s="225"/>
      <c r="J165" s="225"/>
      <c r="K165" s="225"/>
      <c r="L165" s="225"/>
    </row>
    <row r="166" spans="1:12" x14ac:dyDescent="0.25">
      <c r="A166" s="202"/>
      <c r="B166" s="202"/>
      <c r="C166" s="200"/>
      <c r="D166" s="200"/>
      <c r="E166" s="225"/>
      <c r="F166" s="200"/>
      <c r="G166" s="200"/>
      <c r="H166" s="200"/>
      <c r="I166" s="225"/>
      <c r="J166" s="225"/>
      <c r="K166" s="225"/>
      <c r="L166" s="225"/>
    </row>
    <row r="167" spans="1:12" x14ac:dyDescent="0.25">
      <c r="A167" s="200"/>
      <c r="B167" s="200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</row>
    <row r="168" spans="1:12" x14ac:dyDescent="0.25">
      <c r="A168" s="225"/>
      <c r="B168" s="225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</row>
    <row r="169" spans="1:12" x14ac:dyDescent="0.25">
      <c r="A169" s="225"/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</row>
    <row r="170" spans="1:12" x14ac:dyDescent="0.25">
      <c r="A170" s="200"/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25"/>
    </row>
    <row r="171" spans="1:12" x14ac:dyDescent="0.25">
      <c r="A171" s="202"/>
      <c r="B171" s="202"/>
      <c r="C171" s="200"/>
      <c r="D171" s="200"/>
      <c r="E171" s="200"/>
      <c r="F171" s="200"/>
      <c r="G171" s="200"/>
      <c r="H171" s="200"/>
      <c r="I171" s="225"/>
      <c r="J171" s="225"/>
      <c r="K171" s="225"/>
      <c r="L171" s="225"/>
    </row>
    <row r="172" spans="1:12" x14ac:dyDescent="0.25">
      <c r="A172" s="202"/>
      <c r="B172" s="202"/>
      <c r="C172" s="200"/>
      <c r="D172" s="200"/>
      <c r="E172" s="225"/>
      <c r="F172" s="200"/>
      <c r="G172" s="200"/>
      <c r="H172" s="200"/>
      <c r="I172" s="225"/>
      <c r="J172" s="225"/>
      <c r="K172" s="225"/>
      <c r="L172" s="225"/>
    </row>
    <row r="173" spans="1:12" x14ac:dyDescent="0.25">
      <c r="A173" s="200"/>
      <c r="B173" s="200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</row>
  </sheetData>
  <mergeCells count="7">
    <mergeCell ref="C160:E160"/>
    <mergeCell ref="F160:I160"/>
    <mergeCell ref="A1:J1"/>
    <mergeCell ref="A2:J2"/>
    <mergeCell ref="A3:J3"/>
    <mergeCell ref="A4:J4"/>
    <mergeCell ref="A5:G5"/>
  </mergeCells>
  <pageMargins left="0.25" right="0.25" top="0.75" bottom="0.75" header="0.3" footer="0.3"/>
  <pageSetup paperSize="5" scale="4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opLeftCell="B4" zoomScale="85" zoomScaleNormal="85" workbookViewId="0">
      <selection activeCell="L6" sqref="L6"/>
    </sheetView>
  </sheetViews>
  <sheetFormatPr baseColWidth="10" defaultRowHeight="15" x14ac:dyDescent="0.25"/>
  <cols>
    <col min="1" max="1" width="5" bestFit="1" customWidth="1"/>
    <col min="2" max="2" width="22.85546875" customWidth="1"/>
    <col min="3" max="6" width="19.28515625" bestFit="1" customWidth="1"/>
    <col min="7" max="7" width="21" customWidth="1"/>
    <col min="8" max="9" width="19.28515625" customWidth="1"/>
    <col min="10" max="11" width="19.28515625" style="225" customWidth="1"/>
    <col min="12" max="12" width="22.28515625" customWidth="1"/>
    <col min="14" max="14" width="13.140625" bestFit="1" customWidth="1"/>
  </cols>
  <sheetData>
    <row r="1" spans="1:15" ht="45.6" customHeight="1" x14ac:dyDescent="0.6">
      <c r="A1" s="310"/>
      <c r="B1" s="310"/>
      <c r="C1" s="310"/>
      <c r="D1" s="310"/>
      <c r="E1" s="310"/>
      <c r="F1" s="270"/>
      <c r="G1" s="270"/>
      <c r="H1" s="225"/>
      <c r="I1" s="225"/>
      <c r="L1" s="225"/>
      <c r="M1" s="225"/>
      <c r="N1" s="225"/>
      <c r="O1" s="225"/>
    </row>
    <row r="2" spans="1:15" ht="25.5" x14ac:dyDescent="0.35">
      <c r="A2" s="313" t="s">
        <v>39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225"/>
      <c r="O2" s="225"/>
    </row>
    <row r="3" spans="1:15" ht="20.25" x14ac:dyDescent="0.3">
      <c r="A3" s="312" t="s">
        <v>297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225"/>
      <c r="O3" s="225"/>
    </row>
    <row r="4" spans="1:15" ht="17.45" customHeight="1" x14ac:dyDescent="0.3">
      <c r="A4" s="311" t="str">
        <f>+'[2]Deuda por Objeto'!A3:I3</f>
        <v>HOSPITAL INMACULADA CONCEPCION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225"/>
      <c r="O4" s="225"/>
    </row>
    <row r="5" spans="1:15" ht="16.149999999999999" customHeight="1" thickBot="1" x14ac:dyDescent="0.3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9">
        <v>45838</v>
      </c>
      <c r="M5" s="225"/>
      <c r="N5" s="225"/>
      <c r="O5" s="225"/>
    </row>
    <row r="6" spans="1:15" ht="40.9" customHeight="1" thickBot="1" x14ac:dyDescent="0.3">
      <c r="A6" s="241" t="s">
        <v>0</v>
      </c>
      <c r="B6" s="242" t="str">
        <f>+A4</f>
        <v>HOSPITAL INMACULADA CONCEPCION</v>
      </c>
      <c r="C6" s="242">
        <v>2017</v>
      </c>
      <c r="D6" s="243" t="s">
        <v>172</v>
      </c>
      <c r="E6" s="241">
        <v>2019</v>
      </c>
      <c r="F6" s="241">
        <v>2020</v>
      </c>
      <c r="G6" s="241">
        <v>2021</v>
      </c>
      <c r="H6" s="241">
        <v>2022</v>
      </c>
      <c r="I6" s="241">
        <v>2023</v>
      </c>
      <c r="J6" s="241">
        <v>2024</v>
      </c>
      <c r="K6" s="241">
        <v>2025</v>
      </c>
      <c r="L6" s="241" t="s">
        <v>10</v>
      </c>
      <c r="M6" s="241" t="s">
        <v>11</v>
      </c>
      <c r="N6" s="225"/>
      <c r="O6" s="225"/>
    </row>
    <row r="7" spans="1:15" ht="18" customHeight="1" x14ac:dyDescent="0.3">
      <c r="A7" s="227">
        <v>1</v>
      </c>
      <c r="B7" s="228" t="s">
        <v>1</v>
      </c>
      <c r="C7" s="237">
        <v>0</v>
      </c>
      <c r="D7" s="231">
        <v>16639040.430000003</v>
      </c>
      <c r="E7" s="231">
        <v>16332815.040000001</v>
      </c>
      <c r="F7" s="231">
        <v>16696091.339999998</v>
      </c>
      <c r="G7" s="231">
        <v>11740845.32</v>
      </c>
      <c r="H7" s="232">
        <v>5725191.25</v>
      </c>
      <c r="I7" s="250">
        <v>10438581.15</v>
      </c>
      <c r="J7" s="238">
        <v>13200733.380000001</v>
      </c>
      <c r="K7" s="238">
        <v>17109204.329999998</v>
      </c>
      <c r="L7" s="235">
        <f>I7-F7-E7-D7-G7-J7-K7</f>
        <v>-81280148.689999998</v>
      </c>
      <c r="M7" s="236">
        <f t="shared" ref="M7:M18" si="0">L7/H7</f>
        <v>-14.196931620406566</v>
      </c>
      <c r="N7" s="233"/>
      <c r="O7" s="225"/>
    </row>
    <row r="8" spans="1:15" ht="18" customHeight="1" x14ac:dyDescent="0.3">
      <c r="A8" s="229">
        <v>2</v>
      </c>
      <c r="B8" s="228" t="s">
        <v>2</v>
      </c>
      <c r="C8" s="237">
        <v>10865710.65</v>
      </c>
      <c r="D8" s="231">
        <v>16471382.350000001</v>
      </c>
      <c r="E8" s="231">
        <v>15854743.010000002</v>
      </c>
      <c r="F8" s="231">
        <v>17521214.149999995</v>
      </c>
      <c r="G8" s="231">
        <v>12076511.92</v>
      </c>
      <c r="H8" s="232">
        <v>6077169.9000000004</v>
      </c>
      <c r="I8" s="232">
        <v>11267265.76</v>
      </c>
      <c r="J8" s="240">
        <v>13949607.08</v>
      </c>
      <c r="K8" s="240">
        <v>17534170.780000001</v>
      </c>
      <c r="L8" s="235">
        <f t="shared" ref="L8:L18" si="1">I8-F8-E8-D8-G8-J8-K8</f>
        <v>-82140363.530000001</v>
      </c>
      <c r="M8" s="234">
        <f t="shared" si="0"/>
        <v>-13.516219701213224</v>
      </c>
      <c r="N8" s="233"/>
      <c r="O8" s="225"/>
    </row>
    <row r="9" spans="1:15" ht="18" customHeight="1" x14ac:dyDescent="0.3">
      <c r="A9" s="227">
        <v>3</v>
      </c>
      <c r="B9" s="228" t="s">
        <v>3</v>
      </c>
      <c r="C9" s="237">
        <v>10352955.82</v>
      </c>
      <c r="D9" s="231">
        <v>16577262.969999999</v>
      </c>
      <c r="E9" s="231">
        <v>16642454.640000001</v>
      </c>
      <c r="F9" s="231">
        <v>19741364.850000005</v>
      </c>
      <c r="G9" s="231">
        <v>9992768.5800000001</v>
      </c>
      <c r="H9" s="232">
        <v>5546079.75</v>
      </c>
      <c r="I9" s="232">
        <v>12942664.560000001</v>
      </c>
      <c r="J9" s="240">
        <v>15724419.890000001</v>
      </c>
      <c r="K9" s="240">
        <v>18589670.029999997</v>
      </c>
      <c r="L9" s="235">
        <f t="shared" si="1"/>
        <v>-84325276.400000006</v>
      </c>
      <c r="M9" s="234">
        <f t="shared" si="0"/>
        <v>-15.20448320275236</v>
      </c>
      <c r="N9" s="225"/>
      <c r="O9" s="225"/>
    </row>
    <row r="10" spans="1:15" ht="18" customHeight="1" x14ac:dyDescent="0.3">
      <c r="A10" s="229">
        <v>4</v>
      </c>
      <c r="B10" s="228" t="s">
        <v>4</v>
      </c>
      <c r="C10" s="237">
        <v>11318191.619999999</v>
      </c>
      <c r="D10" s="231">
        <v>17259586.940000001</v>
      </c>
      <c r="E10" s="231">
        <v>15546813.099999998</v>
      </c>
      <c r="F10" s="231">
        <v>18536852.199999999</v>
      </c>
      <c r="G10" s="231">
        <v>9116017.1899999995</v>
      </c>
      <c r="H10" s="232">
        <f>5421609.86</f>
        <v>5421609.8600000003</v>
      </c>
      <c r="I10" s="232">
        <f>12644744.05+25500+12350+15340</f>
        <v>12697934.050000001</v>
      </c>
      <c r="J10" s="240">
        <v>11549122.27</v>
      </c>
      <c r="K10" s="240">
        <v>16497724.049999999</v>
      </c>
      <c r="L10" s="235">
        <f t="shared" si="1"/>
        <v>-75808181.699999988</v>
      </c>
      <c r="M10" s="234">
        <f t="shared" si="0"/>
        <v>-13.982596250479739</v>
      </c>
      <c r="N10" s="225"/>
      <c r="O10" s="225"/>
    </row>
    <row r="11" spans="1:15" ht="18" customHeight="1" x14ac:dyDescent="0.3">
      <c r="A11" s="227">
        <v>5</v>
      </c>
      <c r="B11" s="228" t="s">
        <v>5</v>
      </c>
      <c r="C11" s="237">
        <v>12252836.869999999</v>
      </c>
      <c r="D11" s="231">
        <v>16714341.220000001</v>
      </c>
      <c r="E11" s="231">
        <v>0</v>
      </c>
      <c r="F11" s="231">
        <v>18635686.57</v>
      </c>
      <c r="G11" s="231">
        <v>8692667.9000000004</v>
      </c>
      <c r="H11" s="232">
        <v>4723807.42</v>
      </c>
      <c r="I11" s="232">
        <v>10228825.960000001</v>
      </c>
      <c r="J11" s="240">
        <v>13460018.279999999</v>
      </c>
      <c r="K11" s="240">
        <v>15961725.16</v>
      </c>
      <c r="L11" s="235">
        <f t="shared" si="1"/>
        <v>-63235613.170000002</v>
      </c>
      <c r="M11" s="234">
        <f t="shared" si="0"/>
        <v>-13.386577298276059</v>
      </c>
      <c r="N11" s="225"/>
      <c r="O11" s="225"/>
    </row>
    <row r="12" spans="1:15" ht="18" customHeight="1" x14ac:dyDescent="0.3">
      <c r="A12" s="229">
        <v>6</v>
      </c>
      <c r="B12" s="228" t="s">
        <v>6</v>
      </c>
      <c r="C12" s="237">
        <v>12805717.26</v>
      </c>
      <c r="D12" s="231">
        <v>16267339.529999999</v>
      </c>
      <c r="E12" s="231">
        <v>16219808.089999998</v>
      </c>
      <c r="F12" s="231">
        <v>18196974.629999995</v>
      </c>
      <c r="G12" s="231">
        <v>9798387.1799999997</v>
      </c>
      <c r="H12" s="232">
        <v>7860179.2400000002</v>
      </c>
      <c r="I12" s="232">
        <v>11670662.68</v>
      </c>
      <c r="J12" s="240">
        <v>12173371.469999997</v>
      </c>
      <c r="K12" s="240"/>
      <c r="L12" s="235">
        <f t="shared" si="1"/>
        <v>-60985218.219999991</v>
      </c>
      <c r="M12" s="234">
        <f t="shared" si="0"/>
        <v>-7.7587566845358591</v>
      </c>
      <c r="N12" s="225"/>
      <c r="O12" s="225"/>
    </row>
    <row r="13" spans="1:15" ht="18" customHeight="1" x14ac:dyDescent="0.3">
      <c r="A13" s="227">
        <v>7</v>
      </c>
      <c r="B13" s="228" t="s">
        <v>7</v>
      </c>
      <c r="C13" s="237">
        <v>12397123.870000001</v>
      </c>
      <c r="D13" s="231">
        <v>15166022.879999999</v>
      </c>
      <c r="E13" s="231">
        <v>17090477.859999996</v>
      </c>
      <c r="F13" s="231">
        <v>14762886</v>
      </c>
      <c r="G13" s="231">
        <v>9488721.6300000008</v>
      </c>
      <c r="H13" s="232">
        <v>6960861.9199999999</v>
      </c>
      <c r="I13" s="232">
        <v>11095182.689999999</v>
      </c>
      <c r="J13" s="240">
        <v>12773780.119999997</v>
      </c>
      <c r="K13" s="240"/>
      <c r="L13" s="235">
        <f t="shared" si="1"/>
        <v>-58186705.799999997</v>
      </c>
      <c r="M13" s="234">
        <f t="shared" si="0"/>
        <v>-8.3591236931187396</v>
      </c>
      <c r="N13" s="225"/>
      <c r="O13" s="225"/>
    </row>
    <row r="14" spans="1:15" ht="18" customHeight="1" x14ac:dyDescent="0.3">
      <c r="A14" s="229">
        <v>8</v>
      </c>
      <c r="B14" s="228" t="s">
        <v>37</v>
      </c>
      <c r="C14" s="237">
        <v>14274531.400000002</v>
      </c>
      <c r="D14" s="231">
        <v>0</v>
      </c>
      <c r="E14" s="231">
        <v>17587383.920000009</v>
      </c>
      <c r="F14" s="231">
        <v>15657161.4</v>
      </c>
      <c r="G14" s="231">
        <v>6841563.25</v>
      </c>
      <c r="H14" s="232">
        <v>7734071.7800000003</v>
      </c>
      <c r="I14" s="232">
        <v>11653013.220000001</v>
      </c>
      <c r="J14" s="240">
        <v>10650200.698200002</v>
      </c>
      <c r="K14" s="240"/>
      <c r="L14" s="235">
        <f t="shared" si="1"/>
        <v>-39083296.048200011</v>
      </c>
      <c r="M14" s="234">
        <f t="shared" si="0"/>
        <v>-5.0533919466933126</v>
      </c>
      <c r="N14" s="225"/>
      <c r="O14" s="225"/>
    </row>
    <row r="15" spans="1:15" ht="18" customHeight="1" x14ac:dyDescent="0.3">
      <c r="A15" s="227">
        <v>9</v>
      </c>
      <c r="B15" s="228" t="s">
        <v>8</v>
      </c>
      <c r="C15" s="237">
        <v>12982641.180000003</v>
      </c>
      <c r="D15" s="231">
        <v>13970076.849999998</v>
      </c>
      <c r="E15" s="231">
        <v>17705686.520000007</v>
      </c>
      <c r="F15" s="231">
        <v>11658157.660000002</v>
      </c>
      <c r="G15" s="231">
        <v>6463713.4900000002</v>
      </c>
      <c r="H15" s="232">
        <v>8039454.4500000002</v>
      </c>
      <c r="I15" s="232">
        <v>11791303.85</v>
      </c>
      <c r="J15" s="240">
        <v>14668522.0144455</v>
      </c>
      <c r="K15" s="240"/>
      <c r="L15" s="235">
        <f t="shared" si="1"/>
        <v>-52674852.684445508</v>
      </c>
      <c r="M15" s="234">
        <f t="shared" si="0"/>
        <v>-6.5520431780598631</v>
      </c>
      <c r="N15" s="225"/>
      <c r="O15" s="225"/>
    </row>
    <row r="16" spans="1:15" ht="18" customHeight="1" x14ac:dyDescent="0.3">
      <c r="A16" s="229">
        <v>10</v>
      </c>
      <c r="B16" s="228" t="s">
        <v>9</v>
      </c>
      <c r="C16" s="237">
        <v>13022322.150000002</v>
      </c>
      <c r="D16" s="231">
        <v>14849339.99</v>
      </c>
      <c r="E16" s="231">
        <v>16612459.08</v>
      </c>
      <c r="F16" s="231">
        <v>11992589.720000001</v>
      </c>
      <c r="G16" s="231">
        <v>7671015.3600000003</v>
      </c>
      <c r="H16" s="232">
        <v>8469159.8000000007</v>
      </c>
      <c r="I16" s="232">
        <v>11233083.619999999</v>
      </c>
      <c r="J16" s="240">
        <v>14444156.3544455</v>
      </c>
      <c r="K16" s="240"/>
      <c r="L16" s="235">
        <f t="shared" si="1"/>
        <v>-54336476.884445503</v>
      </c>
      <c r="M16" s="234">
        <f t="shared" si="0"/>
        <v>-6.4158048930007787</v>
      </c>
      <c r="N16" s="225"/>
      <c r="O16" s="225"/>
    </row>
    <row r="17" spans="1:15" ht="18" customHeight="1" x14ac:dyDescent="0.3">
      <c r="A17" s="227">
        <v>11</v>
      </c>
      <c r="B17" s="228" t="s">
        <v>96</v>
      </c>
      <c r="C17" s="237">
        <v>0</v>
      </c>
      <c r="D17" s="231">
        <v>15018404.99</v>
      </c>
      <c r="E17" s="231">
        <v>0</v>
      </c>
      <c r="F17" s="231">
        <v>11492112.949999999</v>
      </c>
      <c r="G17" s="231">
        <v>7039022.9100000001</v>
      </c>
      <c r="H17" s="232">
        <v>8207326.4400000004</v>
      </c>
      <c r="I17" s="232">
        <v>11508254.029999999</v>
      </c>
      <c r="J17" s="240">
        <v>10779293.599999996</v>
      </c>
      <c r="K17" s="240"/>
      <c r="L17" s="235">
        <f t="shared" si="1"/>
        <v>-32820580.419999994</v>
      </c>
      <c r="M17" s="234">
        <f t="shared" si="0"/>
        <v>-3.9989368840067718</v>
      </c>
      <c r="N17" s="225"/>
      <c r="O17" s="225"/>
    </row>
    <row r="18" spans="1:15" ht="18.600000000000001" customHeight="1" thickBot="1" x14ac:dyDescent="0.35">
      <c r="A18" s="229">
        <v>12</v>
      </c>
      <c r="B18" s="228" t="s">
        <v>97</v>
      </c>
      <c r="C18" s="237">
        <v>13910552.380000003</v>
      </c>
      <c r="D18" s="231">
        <v>15051700.929999998</v>
      </c>
      <c r="E18" s="231">
        <v>17262090.379999999</v>
      </c>
      <c r="F18" s="231">
        <v>11897450.980000002</v>
      </c>
      <c r="G18" s="231">
        <v>6192965.7999999998</v>
      </c>
      <c r="H18" s="232">
        <v>7838240.8600000003</v>
      </c>
      <c r="I18" s="232">
        <v>13331658.779999999</v>
      </c>
      <c r="J18" s="232">
        <v>13280264.41</v>
      </c>
      <c r="K18" s="232"/>
      <c r="L18" s="235">
        <f t="shared" si="1"/>
        <v>-50352813.719999999</v>
      </c>
      <c r="M18" s="234">
        <f t="shared" si="0"/>
        <v>-6.423994186879324</v>
      </c>
      <c r="N18" s="225"/>
      <c r="O18" s="225"/>
    </row>
    <row r="19" spans="1:15" ht="18" customHeight="1" thickBot="1" x14ac:dyDescent="0.35">
      <c r="A19" s="244"/>
      <c r="B19" s="245" t="s">
        <v>12</v>
      </c>
      <c r="C19" s="246">
        <f t="shared" ref="C19:J19" si="2">SUM(C7:C18)</f>
        <v>124182583.20000002</v>
      </c>
      <c r="D19" s="246">
        <f t="shared" si="2"/>
        <v>173984499.08000001</v>
      </c>
      <c r="E19" s="246">
        <f t="shared" si="2"/>
        <v>166854731.64000005</v>
      </c>
      <c r="F19" s="246">
        <f t="shared" si="2"/>
        <v>186788542.44999999</v>
      </c>
      <c r="G19" s="246">
        <f t="shared" si="2"/>
        <v>105114200.52999999</v>
      </c>
      <c r="H19" s="246">
        <f t="shared" si="2"/>
        <v>82603152.670000002</v>
      </c>
      <c r="I19" s="246">
        <f t="shared" si="2"/>
        <v>139858430.34999999</v>
      </c>
      <c r="J19" s="246">
        <f t="shared" si="2"/>
        <v>156653489.56709102</v>
      </c>
      <c r="K19" s="267"/>
      <c r="L19" s="247">
        <f>H19/E19</f>
        <v>0.49506029501291987</v>
      </c>
      <c r="M19" s="248">
        <f>SUM(M7:M18)</f>
        <v>-114.84885953942259</v>
      </c>
      <c r="N19" s="225"/>
      <c r="O19" s="225"/>
    </row>
    <row r="20" spans="1:15" x14ac:dyDescent="0.25">
      <c r="A20" s="225"/>
      <c r="B20" s="225"/>
      <c r="C20" s="225"/>
      <c r="D20" s="225"/>
      <c r="E20" s="225"/>
      <c r="F20" s="225"/>
      <c r="G20" s="225"/>
      <c r="H20" s="225"/>
      <c r="I20" s="225"/>
      <c r="L20" s="225"/>
      <c r="M20" s="225"/>
      <c r="N20" s="225"/>
      <c r="O20" s="225"/>
    </row>
    <row r="21" spans="1:15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L21" s="225"/>
      <c r="M21" s="225"/>
      <c r="N21" s="225"/>
      <c r="O21" s="225"/>
    </row>
    <row r="22" spans="1:15" x14ac:dyDescent="0.25">
      <c r="A22" s="309" t="s">
        <v>156</v>
      </c>
      <c r="B22" s="309"/>
      <c r="C22" s="309"/>
      <c r="D22" s="309"/>
      <c r="E22" s="309"/>
      <c r="F22" s="269"/>
      <c r="G22" s="269"/>
      <c r="H22" s="225"/>
      <c r="I22" s="225"/>
      <c r="L22" s="225"/>
      <c r="M22" s="225"/>
      <c r="N22" s="225"/>
      <c r="O22" s="225"/>
    </row>
    <row r="23" spans="1:15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L23" s="225"/>
      <c r="M23" s="225"/>
      <c r="N23" s="225"/>
      <c r="O23" s="225"/>
    </row>
    <row r="24" spans="1:15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L24" s="225"/>
      <c r="M24" s="225"/>
      <c r="N24" s="225"/>
      <c r="O24" s="225"/>
    </row>
    <row r="25" spans="1:15" x14ac:dyDescent="0.25">
      <c r="A25" s="225"/>
      <c r="B25" s="307"/>
      <c r="C25" s="307"/>
      <c r="D25" s="307"/>
      <c r="E25" s="225"/>
      <c r="F25" s="225"/>
      <c r="G25" s="225"/>
      <c r="H25" s="230"/>
      <c r="I25" s="230"/>
      <c r="J25" s="230"/>
      <c r="K25" s="230"/>
      <c r="L25" s="230"/>
      <c r="M25" s="225"/>
      <c r="N25" s="225"/>
      <c r="O25" s="225"/>
    </row>
    <row r="26" spans="1:15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L26" s="225"/>
      <c r="M26" s="225"/>
      <c r="N26" s="225"/>
      <c r="O26" s="225"/>
    </row>
    <row r="27" spans="1:15" ht="15.75" x14ac:dyDescent="0.25">
      <c r="A27" s="308" t="s">
        <v>210</v>
      </c>
      <c r="B27" s="308"/>
      <c r="C27" s="308"/>
      <c r="D27" s="308"/>
      <c r="E27" s="308"/>
      <c r="F27" s="308" t="s">
        <v>223</v>
      </c>
      <c r="G27" s="308"/>
      <c r="H27" s="308"/>
      <c r="I27" s="225"/>
      <c r="L27" s="225"/>
      <c r="M27" s="225"/>
      <c r="N27" s="225"/>
      <c r="O27" s="225"/>
    </row>
    <row r="28" spans="1:15" x14ac:dyDescent="0.25">
      <c r="A28" s="225"/>
      <c r="B28" s="225"/>
      <c r="C28" s="225"/>
      <c r="D28" s="225"/>
      <c r="E28" s="225"/>
      <c r="F28" s="225"/>
      <c r="G28" s="225"/>
      <c r="H28" s="225"/>
      <c r="I28" s="225"/>
      <c r="L28" s="225"/>
      <c r="M28" s="225"/>
      <c r="N28" s="225"/>
      <c r="O28" s="225"/>
    </row>
    <row r="29" spans="1:15" ht="15" customHeight="1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L29" s="225"/>
      <c r="M29" s="225"/>
      <c r="N29" s="225"/>
      <c r="O29" s="225"/>
    </row>
    <row r="30" spans="1:15" x14ac:dyDescent="0.25">
      <c r="A30" s="225"/>
      <c r="B30" s="225"/>
      <c r="C30" s="225"/>
      <c r="D30" s="225"/>
      <c r="E30" s="225"/>
      <c r="F30" s="225"/>
      <c r="G30" s="225"/>
      <c r="H30" s="225"/>
      <c r="I30" s="225"/>
      <c r="L30" s="225"/>
      <c r="M30" s="225"/>
      <c r="N30" s="225"/>
      <c r="O30" s="225"/>
    </row>
    <row r="31" spans="1:15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L31" s="225"/>
      <c r="M31" s="225"/>
      <c r="N31" s="225"/>
      <c r="O31" s="225"/>
    </row>
    <row r="32" spans="1:15" x14ac:dyDescent="0.25">
      <c r="A32" s="225"/>
      <c r="B32" s="225"/>
      <c r="C32" s="225"/>
      <c r="D32" s="225"/>
      <c r="E32" s="225"/>
      <c r="F32" s="225"/>
      <c r="G32" s="225"/>
      <c r="H32" s="225"/>
      <c r="I32" s="225"/>
      <c r="L32" s="225"/>
      <c r="M32" s="225"/>
      <c r="N32" s="225"/>
      <c r="O32" s="225"/>
    </row>
    <row r="33" spans="1:15" x14ac:dyDescent="0.25">
      <c r="A33" s="225"/>
      <c r="B33" s="225"/>
      <c r="C33" s="225"/>
      <c r="D33" s="225"/>
      <c r="E33" s="225"/>
      <c r="F33" s="225"/>
      <c r="G33" s="225"/>
      <c r="H33" s="225"/>
      <c r="I33" s="225"/>
      <c r="L33" s="225"/>
      <c r="M33" s="225"/>
      <c r="N33" s="225"/>
      <c r="O33" s="225"/>
    </row>
    <row r="34" spans="1:15" x14ac:dyDescent="0.25">
      <c r="A34" s="225"/>
      <c r="B34" s="225"/>
      <c r="C34" s="225"/>
      <c r="D34" s="225"/>
      <c r="E34" s="225"/>
      <c r="F34" s="225"/>
      <c r="G34" s="225"/>
      <c r="H34" s="225"/>
      <c r="I34" s="225"/>
      <c r="L34" s="225"/>
      <c r="M34" s="225"/>
      <c r="N34" s="225"/>
      <c r="O34" s="225"/>
    </row>
    <row r="35" spans="1:15" x14ac:dyDescent="0.25">
      <c r="A35" s="225"/>
      <c r="B35" s="225"/>
      <c r="C35" s="225"/>
      <c r="D35" s="225"/>
      <c r="E35" s="225"/>
      <c r="F35" s="225"/>
      <c r="G35" s="225"/>
      <c r="H35" s="225"/>
      <c r="I35" s="225"/>
      <c r="L35" s="225"/>
      <c r="M35" s="225"/>
      <c r="N35" s="225"/>
      <c r="O35" s="225"/>
    </row>
    <row r="36" spans="1:15" x14ac:dyDescent="0.25">
      <c r="A36" s="225"/>
      <c r="B36" s="225"/>
      <c r="C36" s="225"/>
      <c r="D36" s="225"/>
      <c r="E36" s="225"/>
      <c r="F36" s="225"/>
      <c r="G36" s="225"/>
      <c r="H36" s="225"/>
      <c r="I36" s="225"/>
      <c r="L36" s="225"/>
      <c r="M36" s="225"/>
      <c r="N36" s="225"/>
      <c r="O36" s="225"/>
    </row>
    <row r="37" spans="1:15" x14ac:dyDescent="0.25">
      <c r="A37" s="225"/>
      <c r="B37" s="225"/>
      <c r="C37" s="225"/>
      <c r="D37" s="225"/>
      <c r="E37" s="225"/>
      <c r="F37" s="225"/>
      <c r="G37" s="225"/>
      <c r="H37" s="225"/>
      <c r="I37" s="225"/>
      <c r="L37" s="225"/>
      <c r="M37" s="225"/>
      <c r="N37" s="225"/>
      <c r="O37" s="225"/>
    </row>
    <row r="38" spans="1:15" x14ac:dyDescent="0.25">
      <c r="A38" s="225"/>
      <c r="B38" s="225"/>
      <c r="C38" s="225"/>
      <c r="D38" s="225"/>
      <c r="E38" s="225"/>
      <c r="F38" s="225"/>
      <c r="G38" s="225"/>
      <c r="H38" s="225"/>
      <c r="I38" s="225"/>
      <c r="L38" s="225"/>
      <c r="M38" s="225"/>
      <c r="N38" s="225"/>
      <c r="O38" s="225"/>
    </row>
    <row r="39" spans="1:15" x14ac:dyDescent="0.25">
      <c r="A39" s="225"/>
      <c r="B39" s="225"/>
      <c r="C39" s="225"/>
      <c r="D39" s="225"/>
      <c r="E39" s="225"/>
      <c r="F39" s="225"/>
      <c r="G39" s="225"/>
      <c r="H39" s="225"/>
      <c r="I39" s="225"/>
      <c r="L39" s="225"/>
      <c r="M39" s="225"/>
      <c r="N39" s="225"/>
      <c r="O39" s="225"/>
    </row>
    <row r="40" spans="1:15" x14ac:dyDescent="0.25">
      <c r="A40" s="225"/>
      <c r="B40" s="225"/>
      <c r="C40" s="225"/>
      <c r="D40" s="225"/>
      <c r="E40" s="225"/>
      <c r="F40" s="225"/>
      <c r="G40" s="225"/>
      <c r="H40" s="225"/>
      <c r="I40" s="225"/>
      <c r="L40" s="225"/>
      <c r="M40" s="225"/>
      <c r="N40" s="225"/>
      <c r="O40" s="225"/>
    </row>
    <row r="41" spans="1:15" x14ac:dyDescent="0.25">
      <c r="A41" s="225"/>
      <c r="B41" s="225"/>
      <c r="C41" s="225"/>
      <c r="D41" s="225"/>
      <c r="E41" s="225"/>
      <c r="F41" s="225"/>
      <c r="G41" s="225"/>
      <c r="H41" s="225"/>
      <c r="I41" s="225"/>
      <c r="L41" s="225"/>
      <c r="M41" s="225"/>
      <c r="N41" s="225"/>
      <c r="O41" s="225"/>
    </row>
    <row r="42" spans="1:15" x14ac:dyDescent="0.25">
      <c r="A42" s="225"/>
      <c r="B42" s="225"/>
      <c r="C42" s="225"/>
      <c r="D42" s="225"/>
      <c r="E42" s="225"/>
      <c r="F42" s="225"/>
      <c r="G42" s="225"/>
      <c r="H42" s="225"/>
      <c r="I42" s="225"/>
      <c r="L42" s="225"/>
      <c r="M42" s="225"/>
      <c r="N42" s="225"/>
      <c r="O42" s="225"/>
    </row>
    <row r="43" spans="1:15" x14ac:dyDescent="0.25">
      <c r="A43" s="225"/>
      <c r="B43" s="225"/>
      <c r="C43" s="225"/>
      <c r="D43" s="225"/>
      <c r="E43" s="225"/>
      <c r="F43" s="225"/>
      <c r="G43" s="225"/>
      <c r="H43" s="225"/>
      <c r="I43" s="225"/>
      <c r="L43" s="225"/>
      <c r="M43" s="225"/>
      <c r="N43" s="225"/>
      <c r="O43" s="225"/>
    </row>
  </sheetData>
  <mergeCells count="8">
    <mergeCell ref="B25:D25"/>
    <mergeCell ref="A27:E27"/>
    <mergeCell ref="F27:H27"/>
    <mergeCell ref="A22:E22"/>
    <mergeCell ref="A1:E1"/>
    <mergeCell ref="A4:M4"/>
    <mergeCell ref="A3:M3"/>
    <mergeCell ref="A2:M2"/>
  </mergeCells>
  <phoneticPr fontId="73" type="noConversion"/>
  <printOptions horizontalCentered="1"/>
  <pageMargins left="0" right="0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22"/>
  <sheetViews>
    <sheetView showGridLines="0" tabSelected="1" topLeftCell="S49" zoomScale="90" zoomScaleNormal="90" workbookViewId="0">
      <selection activeCell="AE58" sqref="AE58"/>
    </sheetView>
  </sheetViews>
  <sheetFormatPr baseColWidth="10" defaultColWidth="10.7109375" defaultRowHeight="18.75" x14ac:dyDescent="0.3"/>
  <cols>
    <col min="1" max="1" width="19" style="68" customWidth="1"/>
    <col min="2" max="2" width="77.85546875" style="3" bestFit="1" customWidth="1"/>
    <col min="3" max="3" width="13.42578125" style="3" customWidth="1"/>
    <col min="4" max="4" width="16.140625" style="3" bestFit="1" customWidth="1"/>
    <col min="5" max="5" width="9.42578125" style="3" bestFit="1" customWidth="1"/>
    <col min="6" max="6" width="12" style="3" customWidth="1"/>
    <col min="7" max="7" width="17.28515625" style="3" customWidth="1"/>
    <col min="8" max="8" width="13.5703125" style="3" customWidth="1"/>
    <col min="9" max="9" width="16.42578125" style="71" customWidth="1"/>
    <col min="10" max="10" width="19.42578125" style="3" customWidth="1"/>
    <col min="11" max="11" width="13.5703125" style="3" customWidth="1"/>
    <col min="12" max="12" width="15.42578125" style="3" customWidth="1"/>
    <col min="13" max="13" width="14.42578125" style="3" customWidth="1"/>
    <col min="14" max="14" width="12" style="3" customWidth="1"/>
    <col min="15" max="15" width="16" style="3" customWidth="1"/>
    <col min="16" max="16" width="14.85546875" style="3" customWidth="1"/>
    <col min="17" max="17" width="11" style="3" customWidth="1"/>
    <col min="18" max="18" width="19.140625" style="3" customWidth="1"/>
    <col min="19" max="19" width="15.140625" style="3" bestFit="1" customWidth="1"/>
    <col min="20" max="20" width="12.28515625" style="3" customWidth="1"/>
    <col min="21" max="21" width="15.140625" style="3" bestFit="1" customWidth="1"/>
    <col min="22" max="22" width="15.140625" style="3" customWidth="1"/>
    <col min="23" max="23" width="11.5703125" style="3" customWidth="1"/>
    <col min="24" max="24" width="14.85546875" style="3" customWidth="1"/>
    <col min="25" max="25" width="20.5703125" style="3" customWidth="1"/>
    <col min="26" max="26" width="9.42578125" style="3" bestFit="1" customWidth="1"/>
    <col min="27" max="27" width="14.85546875" style="3" customWidth="1"/>
    <col min="28" max="28" width="19" style="3" customWidth="1"/>
    <col min="29" max="29" width="12.28515625" style="3" customWidth="1"/>
    <col min="30" max="30" width="13.140625" style="3" customWidth="1"/>
    <col min="31" max="31" width="17" style="3" customWidth="1"/>
    <col min="32" max="32" width="10.140625" style="3" customWidth="1"/>
    <col min="33" max="33" width="18.85546875" style="3" customWidth="1"/>
    <col min="34" max="34" width="17.28515625" style="3" customWidth="1"/>
    <col min="35" max="35" width="11.5703125" style="3" customWidth="1"/>
    <col min="36" max="36" width="13.140625" style="3" customWidth="1"/>
    <col min="37" max="37" width="23" style="3" customWidth="1"/>
    <col min="38" max="38" width="12.42578125" style="3" customWidth="1"/>
    <col min="39" max="39" width="15.140625" style="3" customWidth="1"/>
    <col min="40" max="40" width="14.85546875" style="3" customWidth="1"/>
    <col min="41" max="41" width="11.7109375" style="3" customWidth="1"/>
    <col min="42" max="42" width="12.5703125" style="3" bestFit="1" customWidth="1"/>
    <col min="43" max="43" width="12.7109375" style="3" customWidth="1"/>
    <col min="44" max="44" width="12.140625" style="3" customWidth="1"/>
    <col min="45" max="45" width="10.7109375" style="3"/>
    <col min="46" max="46" width="14.140625" style="3" bestFit="1" customWidth="1"/>
    <col min="47" max="16384" width="10.7109375" style="3"/>
  </cols>
  <sheetData>
    <row r="1" spans="1:44" x14ac:dyDescent="0.3">
      <c r="A1" s="369" t="s">
        <v>13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</row>
    <row r="2" spans="1:44" ht="18.75" customHeight="1" x14ac:dyDescent="0.3">
      <c r="A2" s="368" t="str">
        <f>+'[3]DEUDA RESUMEN '!A4:M4</f>
        <v>HOSPITAL INMACULADA CONCEPCION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</row>
    <row r="3" spans="1:44" x14ac:dyDescent="0.3">
      <c r="A3" s="373" t="s">
        <v>40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</row>
    <row r="4" spans="1:44" x14ac:dyDescent="0.3">
      <c r="A4" s="369" t="s">
        <v>318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</row>
    <row r="5" spans="1:44" x14ac:dyDescent="0.3"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271"/>
      <c r="AN5" s="271"/>
      <c r="AO5" s="271"/>
    </row>
    <row r="6" spans="1:44" ht="30.75" customHeight="1" x14ac:dyDescent="0.3">
      <c r="A6" s="375" t="s">
        <v>153</v>
      </c>
      <c r="B6" s="375"/>
      <c r="C6" s="374" t="s">
        <v>168</v>
      </c>
      <c r="D6" s="374"/>
      <c r="E6" s="374"/>
      <c r="F6" s="374" t="s">
        <v>168</v>
      </c>
      <c r="G6" s="374"/>
      <c r="H6" s="374"/>
      <c r="I6" s="374" t="s">
        <v>168</v>
      </c>
      <c r="J6" s="374"/>
      <c r="K6" s="374"/>
      <c r="L6" s="329" t="s">
        <v>154</v>
      </c>
      <c r="M6" s="329"/>
      <c r="N6" s="329"/>
      <c r="O6" s="329" t="s">
        <v>154</v>
      </c>
      <c r="P6" s="329"/>
      <c r="Q6" s="329"/>
      <c r="R6" s="329" t="s">
        <v>154</v>
      </c>
      <c r="S6" s="329"/>
      <c r="T6" s="329"/>
      <c r="U6" s="329" t="s">
        <v>155</v>
      </c>
      <c r="V6" s="329"/>
      <c r="W6" s="329"/>
      <c r="X6" s="329" t="s">
        <v>155</v>
      </c>
      <c r="Y6" s="329"/>
      <c r="Z6" s="329"/>
      <c r="AA6" s="329" t="s">
        <v>155</v>
      </c>
      <c r="AB6" s="329"/>
      <c r="AC6" s="329"/>
      <c r="AD6" s="329" t="s">
        <v>165</v>
      </c>
      <c r="AE6" s="329"/>
      <c r="AF6" s="329"/>
      <c r="AG6" s="329" t="s">
        <v>165</v>
      </c>
      <c r="AH6" s="329"/>
      <c r="AI6" s="329"/>
      <c r="AJ6" s="329" t="s">
        <v>165</v>
      </c>
      <c r="AK6" s="329"/>
      <c r="AL6" s="329"/>
      <c r="AM6" s="329" t="s">
        <v>166</v>
      </c>
      <c r="AN6" s="329"/>
      <c r="AO6" s="329"/>
    </row>
    <row r="7" spans="1:44" ht="30.75" customHeight="1" x14ac:dyDescent="0.3">
      <c r="A7" s="155"/>
      <c r="B7" s="155"/>
      <c r="C7" s="314" t="s">
        <v>169</v>
      </c>
      <c r="D7" s="315"/>
      <c r="E7" s="316"/>
      <c r="F7" s="314" t="s">
        <v>2</v>
      </c>
      <c r="G7" s="315"/>
      <c r="H7" s="316"/>
      <c r="I7" s="314" t="s">
        <v>3</v>
      </c>
      <c r="J7" s="315"/>
      <c r="K7" s="316"/>
      <c r="L7" s="317" t="s">
        <v>4</v>
      </c>
      <c r="M7" s="318"/>
      <c r="N7" s="319"/>
      <c r="O7" s="317" t="s">
        <v>170</v>
      </c>
      <c r="P7" s="318"/>
      <c r="Q7" s="319"/>
      <c r="R7" s="317" t="s">
        <v>6</v>
      </c>
      <c r="S7" s="318"/>
      <c r="T7" s="319"/>
      <c r="U7" s="317" t="s">
        <v>7</v>
      </c>
      <c r="V7" s="318"/>
      <c r="W7" s="319"/>
      <c r="X7" s="317" t="s">
        <v>171</v>
      </c>
      <c r="Y7" s="318"/>
      <c r="Z7" s="319"/>
      <c r="AA7" s="317" t="s">
        <v>8</v>
      </c>
      <c r="AB7" s="318"/>
      <c r="AC7" s="319"/>
      <c r="AD7" s="317" t="s">
        <v>9</v>
      </c>
      <c r="AE7" s="318"/>
      <c r="AF7" s="319"/>
      <c r="AG7" s="317" t="s">
        <v>96</v>
      </c>
      <c r="AH7" s="318"/>
      <c r="AI7" s="319"/>
      <c r="AJ7" s="317" t="s">
        <v>97</v>
      </c>
      <c r="AK7" s="318"/>
      <c r="AL7" s="319"/>
      <c r="AM7" s="317">
        <v>0</v>
      </c>
      <c r="AN7" s="318"/>
      <c r="AO7" s="319"/>
    </row>
    <row r="8" spans="1:44" s="172" customFormat="1" x14ac:dyDescent="0.3">
      <c r="A8" s="171" t="s">
        <v>167</v>
      </c>
      <c r="C8" s="325">
        <f>834.41+3222983.46</f>
        <v>3223817.87</v>
      </c>
      <c r="D8" s="325"/>
      <c r="E8" s="325"/>
      <c r="F8" s="325">
        <f>509.41+3211672.97</f>
        <v>3212182.3800000004</v>
      </c>
      <c r="G8" s="325"/>
      <c r="H8" s="325"/>
      <c r="I8" s="325">
        <f>184.41+2589055.17</f>
        <v>2589239.58</v>
      </c>
      <c r="J8" s="325"/>
      <c r="K8" s="325"/>
      <c r="L8" s="325">
        <f>184.41+3676565.89</f>
        <v>3676750.3000000003</v>
      </c>
      <c r="M8" s="325"/>
      <c r="N8" s="325"/>
      <c r="O8" s="325">
        <v>1821063.17</v>
      </c>
      <c r="P8" s="325"/>
      <c r="Q8" s="325"/>
      <c r="R8" s="370">
        <v>1184839.03</v>
      </c>
      <c r="S8" s="371"/>
      <c r="T8" s="372"/>
      <c r="U8" s="325">
        <v>2923920.67</v>
      </c>
      <c r="V8" s="325"/>
      <c r="W8" s="325"/>
      <c r="X8" s="325">
        <f>1446.96+2922473.71</f>
        <v>2923920.67</v>
      </c>
      <c r="Y8" s="325"/>
      <c r="Z8" s="325"/>
      <c r="AA8" s="325">
        <f>2490.29+3671173.33</f>
        <v>3673663.62</v>
      </c>
      <c r="AB8" s="325"/>
      <c r="AC8" s="325"/>
      <c r="AD8" s="325">
        <f>1500984.41+1289018.62</f>
        <v>2790003.0300000003</v>
      </c>
      <c r="AE8" s="325"/>
      <c r="AF8" s="325"/>
      <c r="AG8" s="325"/>
      <c r="AH8" s="325"/>
      <c r="AI8" s="325"/>
      <c r="AJ8" s="325"/>
      <c r="AK8" s="325"/>
      <c r="AL8" s="325"/>
      <c r="AM8" s="325">
        <f>SUM(C8:AL8)</f>
        <v>28019400.320000004</v>
      </c>
      <c r="AN8" s="325"/>
      <c r="AO8" s="325"/>
    </row>
    <row r="9" spans="1:44" s="173" customFormat="1" x14ac:dyDescent="0.3">
      <c r="A9" s="152" t="s">
        <v>151</v>
      </c>
      <c r="B9" s="152"/>
      <c r="C9" s="320"/>
      <c r="D9" s="320"/>
      <c r="E9" s="320"/>
      <c r="F9" s="320"/>
      <c r="G9" s="320"/>
      <c r="H9" s="320"/>
      <c r="I9" s="320"/>
      <c r="J9" s="320"/>
      <c r="K9" s="320"/>
      <c r="L9" s="320">
        <v>2999370.57</v>
      </c>
      <c r="M9" s="320"/>
      <c r="N9" s="320"/>
      <c r="O9" s="320">
        <v>1498370.55</v>
      </c>
      <c r="P9" s="320"/>
      <c r="Q9" s="320"/>
      <c r="R9" s="326">
        <v>2999082.71</v>
      </c>
      <c r="S9" s="327"/>
      <c r="T9" s="328"/>
      <c r="U9" s="320">
        <v>1498186.4</v>
      </c>
      <c r="V9" s="320"/>
      <c r="W9" s="320"/>
      <c r="X9" s="320">
        <v>1499537.45</v>
      </c>
      <c r="Y9" s="320"/>
      <c r="Z9" s="320"/>
      <c r="AA9" s="320">
        <v>2998421.58</v>
      </c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>
        <f t="shared" ref="AM9:AM11" si="0">SUM(C9:AL9)</f>
        <v>13492969.26</v>
      </c>
      <c r="AN9" s="320"/>
      <c r="AO9" s="320"/>
    </row>
    <row r="10" spans="1:44" s="173" customFormat="1" x14ac:dyDescent="0.3">
      <c r="A10" s="152" t="s">
        <v>16</v>
      </c>
      <c r="B10" s="152"/>
      <c r="C10" s="320">
        <v>557706.06999999995</v>
      </c>
      <c r="D10" s="320"/>
      <c r="E10" s="320"/>
      <c r="F10" s="320">
        <v>3980675.68</v>
      </c>
      <c r="G10" s="320"/>
      <c r="H10" s="320"/>
      <c r="I10" s="320">
        <v>4848783.6100000003</v>
      </c>
      <c r="J10" s="320"/>
      <c r="K10" s="320"/>
      <c r="L10" s="320">
        <v>4033659.97</v>
      </c>
      <c r="M10" s="320"/>
      <c r="N10" s="320"/>
      <c r="O10" s="320">
        <f>207400+46170+4447869.68+49443.44+360081.36</f>
        <v>5110964.4800000004</v>
      </c>
      <c r="P10" s="320"/>
      <c r="Q10" s="320"/>
      <c r="R10" s="326">
        <v>5104978.9400000004</v>
      </c>
      <c r="S10" s="327"/>
      <c r="T10" s="328"/>
      <c r="U10" s="320">
        <v>4820478.26</v>
      </c>
      <c r="V10" s="320"/>
      <c r="W10" s="320"/>
      <c r="X10" s="320">
        <f>5494715.66-15000</f>
        <v>5479715.6600000001</v>
      </c>
      <c r="Y10" s="320"/>
      <c r="Z10" s="320"/>
      <c r="AA10" s="320">
        <f>6296849.79-15000</f>
        <v>6281849.79</v>
      </c>
      <c r="AB10" s="320"/>
      <c r="AC10" s="320"/>
      <c r="AD10" s="320">
        <v>6017388.3700000001</v>
      </c>
      <c r="AE10" s="320"/>
      <c r="AF10" s="320"/>
      <c r="AG10" s="320"/>
      <c r="AH10" s="320"/>
      <c r="AI10" s="320"/>
      <c r="AJ10" s="320"/>
      <c r="AK10" s="320"/>
      <c r="AL10" s="320"/>
      <c r="AM10" s="320">
        <f t="shared" si="0"/>
        <v>46236200.829999998</v>
      </c>
      <c r="AN10" s="320"/>
      <c r="AO10" s="320"/>
    </row>
    <row r="11" spans="1:44" s="173" customFormat="1" x14ac:dyDescent="0.3">
      <c r="A11" s="152" t="s">
        <v>158</v>
      </c>
      <c r="B11" s="152"/>
      <c r="C11" s="321" t="s">
        <v>30</v>
      </c>
      <c r="D11" s="321"/>
      <c r="E11" s="321"/>
      <c r="F11" s="321">
        <v>0</v>
      </c>
      <c r="G11" s="321"/>
      <c r="H11" s="321"/>
      <c r="I11" s="321"/>
      <c r="J11" s="321"/>
      <c r="K11" s="321"/>
      <c r="L11" s="321"/>
      <c r="M11" s="321"/>
      <c r="N11" s="321"/>
      <c r="O11" s="321">
        <v>15000</v>
      </c>
      <c r="P11" s="321"/>
      <c r="Q11" s="321"/>
      <c r="R11" s="321">
        <v>15000</v>
      </c>
      <c r="S11" s="321"/>
      <c r="T11" s="321"/>
      <c r="U11" s="321">
        <v>15000</v>
      </c>
      <c r="V11" s="321"/>
      <c r="W11" s="321"/>
      <c r="X11" s="321">
        <v>15000</v>
      </c>
      <c r="Y11" s="321"/>
      <c r="Z11" s="321"/>
      <c r="AA11" s="321">
        <v>15000</v>
      </c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0">
        <f t="shared" si="0"/>
        <v>75000</v>
      </c>
      <c r="AN11" s="320"/>
      <c r="AO11" s="320"/>
    </row>
    <row r="12" spans="1:44" s="172" customFormat="1" x14ac:dyDescent="0.3">
      <c r="A12" s="151" t="s">
        <v>152</v>
      </c>
      <c r="B12" s="153"/>
      <c r="C12" s="322">
        <f>SUM(C8:E11)</f>
        <v>3781523.94</v>
      </c>
      <c r="D12" s="323"/>
      <c r="E12" s="324"/>
      <c r="F12" s="322">
        <f t="shared" ref="F12" si="1">SUM(F8:H11)</f>
        <v>7192858.0600000005</v>
      </c>
      <c r="G12" s="323"/>
      <c r="H12" s="324"/>
      <c r="I12" s="322">
        <f>SUM(I8:K11)</f>
        <v>7438023.1900000004</v>
      </c>
      <c r="J12" s="323"/>
      <c r="K12" s="324"/>
      <c r="L12" s="322">
        <f t="shared" ref="L12" si="2">SUM(L8:N11)</f>
        <v>10709780.84</v>
      </c>
      <c r="M12" s="323"/>
      <c r="N12" s="324"/>
      <c r="O12" s="322">
        <f t="shared" ref="O12" si="3">SUM(O8:Q11)</f>
        <v>8445398.1999999993</v>
      </c>
      <c r="P12" s="323"/>
      <c r="Q12" s="324"/>
      <c r="R12" s="322">
        <f t="shared" ref="R12" si="4">SUM(R8:T11)</f>
        <v>9303900.6799999997</v>
      </c>
      <c r="S12" s="323"/>
      <c r="T12" s="324"/>
      <c r="U12" s="322">
        <f>+U9+U10+U11+U8</f>
        <v>9257585.3300000001</v>
      </c>
      <c r="V12" s="323"/>
      <c r="W12" s="324"/>
      <c r="X12" s="322">
        <f>+X9+X10+X11</f>
        <v>6994253.1100000003</v>
      </c>
      <c r="Y12" s="323"/>
      <c r="Z12" s="324"/>
      <c r="AA12" s="322">
        <f>+AA9+AA10+AA11</f>
        <v>9295271.370000001</v>
      </c>
      <c r="AB12" s="323"/>
      <c r="AC12" s="324"/>
      <c r="AD12" s="322">
        <f>+AD9+AD10+AD11</f>
        <v>6017388.3700000001</v>
      </c>
      <c r="AE12" s="323"/>
      <c r="AF12" s="324"/>
      <c r="AG12" s="322">
        <f>+AG9+AG10+AG11</f>
        <v>0</v>
      </c>
      <c r="AH12" s="323"/>
      <c r="AI12" s="324"/>
      <c r="AJ12" s="322">
        <f>+AJ9+AJ10+AJ11</f>
        <v>0</v>
      </c>
      <c r="AK12" s="323"/>
      <c r="AL12" s="324"/>
      <c r="AM12" s="325">
        <f>SUM(AM8:AO11)</f>
        <v>87823570.409999996</v>
      </c>
      <c r="AN12" s="325"/>
      <c r="AO12" s="325"/>
    </row>
    <row r="13" spans="1:44" x14ac:dyDescent="0.3">
      <c r="B13" s="271"/>
      <c r="C13" s="271"/>
      <c r="D13" s="271"/>
      <c r="E13" s="271"/>
      <c r="F13" s="271"/>
      <c r="G13" s="271"/>
      <c r="H13" s="271"/>
      <c r="I13" s="160"/>
      <c r="K13" s="271"/>
    </row>
    <row r="14" spans="1:44" s="74" customFormat="1" ht="29.25" customHeight="1" x14ac:dyDescent="0.25">
      <c r="A14" s="343" t="s">
        <v>75</v>
      </c>
      <c r="B14" s="345" t="s">
        <v>14</v>
      </c>
      <c r="C14" s="330" t="s">
        <v>1</v>
      </c>
      <c r="D14" s="330"/>
      <c r="E14" s="330"/>
      <c r="F14" s="365" t="s">
        <v>2</v>
      </c>
      <c r="G14" s="366"/>
      <c r="H14" s="367"/>
      <c r="I14" s="362" t="s">
        <v>3</v>
      </c>
      <c r="J14" s="363"/>
      <c r="K14" s="364"/>
      <c r="L14" s="359" t="s">
        <v>4</v>
      </c>
      <c r="M14" s="360"/>
      <c r="N14" s="361"/>
      <c r="O14" s="356" t="s">
        <v>5</v>
      </c>
      <c r="P14" s="357"/>
      <c r="Q14" s="358"/>
      <c r="R14" s="353" t="s">
        <v>6</v>
      </c>
      <c r="S14" s="354"/>
      <c r="T14" s="355"/>
      <c r="U14" s="350" t="s">
        <v>7</v>
      </c>
      <c r="V14" s="351"/>
      <c r="W14" s="352"/>
      <c r="X14" s="347" t="s">
        <v>37</v>
      </c>
      <c r="Y14" s="348"/>
      <c r="Z14" s="349"/>
      <c r="AA14" s="331" t="s">
        <v>8</v>
      </c>
      <c r="AB14" s="332"/>
      <c r="AC14" s="333"/>
      <c r="AD14" s="334" t="s">
        <v>9</v>
      </c>
      <c r="AE14" s="335"/>
      <c r="AF14" s="336"/>
      <c r="AG14" s="337" t="s">
        <v>96</v>
      </c>
      <c r="AH14" s="338"/>
      <c r="AI14" s="339"/>
      <c r="AJ14" s="340" t="s">
        <v>97</v>
      </c>
      <c r="AK14" s="341"/>
      <c r="AL14" s="342"/>
      <c r="AM14" s="330" t="s">
        <v>12</v>
      </c>
      <c r="AN14" s="330"/>
      <c r="AO14" s="330"/>
    </row>
    <row r="15" spans="1:44" s="88" customFormat="1" ht="31.5" x14ac:dyDescent="0.25">
      <c r="A15" s="344"/>
      <c r="B15" s="346"/>
      <c r="C15" s="75" t="s">
        <v>91</v>
      </c>
      <c r="D15" s="75" t="s">
        <v>92</v>
      </c>
      <c r="E15" s="75" t="s">
        <v>93</v>
      </c>
      <c r="F15" s="76" t="s">
        <v>91</v>
      </c>
      <c r="G15" s="76" t="s">
        <v>92</v>
      </c>
      <c r="H15" s="161" t="s">
        <v>93</v>
      </c>
      <c r="I15" s="77" t="s">
        <v>91</v>
      </c>
      <c r="J15" s="166" t="s">
        <v>92</v>
      </c>
      <c r="K15" s="77" t="s">
        <v>93</v>
      </c>
      <c r="L15" s="78" t="s">
        <v>91</v>
      </c>
      <c r="M15" s="78" t="s">
        <v>92</v>
      </c>
      <c r="N15" s="78" t="s">
        <v>93</v>
      </c>
      <c r="O15" s="79" t="s">
        <v>91</v>
      </c>
      <c r="P15" s="79" t="s">
        <v>92</v>
      </c>
      <c r="Q15" s="79" t="s">
        <v>93</v>
      </c>
      <c r="R15" s="80" t="s">
        <v>91</v>
      </c>
      <c r="S15" s="80" t="s">
        <v>92</v>
      </c>
      <c r="T15" s="80" t="s">
        <v>93</v>
      </c>
      <c r="U15" s="81" t="s">
        <v>91</v>
      </c>
      <c r="V15" s="81" t="s">
        <v>92</v>
      </c>
      <c r="W15" s="81" t="s">
        <v>93</v>
      </c>
      <c r="X15" s="82" t="s">
        <v>91</v>
      </c>
      <c r="Y15" s="82" t="s">
        <v>92</v>
      </c>
      <c r="Z15" s="82" t="s">
        <v>93</v>
      </c>
      <c r="AA15" s="83" t="s">
        <v>91</v>
      </c>
      <c r="AB15" s="83" t="s">
        <v>92</v>
      </c>
      <c r="AC15" s="83" t="s">
        <v>93</v>
      </c>
      <c r="AD15" s="84" t="s">
        <v>91</v>
      </c>
      <c r="AE15" s="84" t="s">
        <v>92</v>
      </c>
      <c r="AF15" s="84" t="s">
        <v>93</v>
      </c>
      <c r="AG15" s="85" t="s">
        <v>91</v>
      </c>
      <c r="AH15" s="85" t="s">
        <v>92</v>
      </c>
      <c r="AI15" s="85" t="s">
        <v>93</v>
      </c>
      <c r="AJ15" s="86" t="s">
        <v>91</v>
      </c>
      <c r="AK15" s="86" t="s">
        <v>92</v>
      </c>
      <c r="AL15" s="86" t="s">
        <v>93</v>
      </c>
      <c r="AM15" s="87" t="s">
        <v>91</v>
      </c>
      <c r="AN15" s="87" t="s">
        <v>92</v>
      </c>
      <c r="AO15" s="87" t="s">
        <v>93</v>
      </c>
    </row>
    <row r="16" spans="1:44" ht="18" customHeight="1" x14ac:dyDescent="0.3">
      <c r="A16" s="69">
        <v>2112.0100000000002</v>
      </c>
      <c r="B16" s="70" t="s">
        <v>72</v>
      </c>
      <c r="C16" s="131"/>
      <c r="D16" s="131">
        <v>181000</v>
      </c>
      <c r="E16" s="131"/>
      <c r="F16" s="131"/>
      <c r="G16" s="156">
        <f>20000+218500</f>
        <v>238500</v>
      </c>
      <c r="H16" s="162"/>
      <c r="I16" s="131"/>
      <c r="J16" s="167">
        <f>20000+213400</f>
        <v>233400</v>
      </c>
      <c r="K16" s="131"/>
      <c r="L16" s="131"/>
      <c r="M16" s="131">
        <f>20000+140000</f>
        <v>160000</v>
      </c>
      <c r="N16" s="131"/>
      <c r="O16" s="131"/>
      <c r="P16" s="131">
        <v>145000</v>
      </c>
      <c r="Q16" s="131"/>
      <c r="R16" s="131"/>
      <c r="S16" s="131">
        <v>80000</v>
      </c>
      <c r="T16" s="131"/>
      <c r="U16" s="131"/>
      <c r="V16" s="131">
        <v>170000</v>
      </c>
      <c r="W16" s="131"/>
      <c r="X16" s="131"/>
      <c r="Y16" s="131">
        <f>20000+139000</f>
        <v>159000</v>
      </c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>
        <f>+C16+F16+I16+L16+O16+R16+U16+X16+AA16+AD16+AG16+AJ16</f>
        <v>0</v>
      </c>
      <c r="AN16" s="131">
        <f>+D16+G16+J16+M16+P16+V16+S16+Y16+AB16+AE16+AH16+AK16</f>
        <v>1366900</v>
      </c>
      <c r="AO16" s="131"/>
    </row>
    <row r="17" spans="1:41" ht="18" customHeight="1" x14ac:dyDescent="0.3">
      <c r="A17" s="69">
        <v>2112.04</v>
      </c>
      <c r="B17" s="70" t="s">
        <v>71</v>
      </c>
      <c r="C17" s="131"/>
      <c r="D17" s="131"/>
      <c r="E17" s="131"/>
      <c r="F17" s="131"/>
      <c r="G17" s="156"/>
      <c r="H17" s="162"/>
      <c r="I17" s="131"/>
      <c r="J17" s="167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>
        <v>120000</v>
      </c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>
        <f t="shared" ref="AM17:AM54" si="5">+C17+F17+I17+L17+O17+R17+U17+X17+AA17+AD17+AG17+AJ17</f>
        <v>0</v>
      </c>
      <c r="AN17" s="131">
        <f t="shared" ref="AN17:AN54" si="6">+D17+G17+J17+M17+P17+V17+S17+Y17+AB17+AE17+AH17+AK17</f>
        <v>120000</v>
      </c>
      <c r="AO17" s="131"/>
    </row>
    <row r="18" spans="1:41" ht="18" customHeight="1" x14ac:dyDescent="0.3">
      <c r="A18" s="69">
        <v>2122.08</v>
      </c>
      <c r="B18" s="70" t="s">
        <v>70</v>
      </c>
      <c r="C18" s="131"/>
      <c r="D18" s="131"/>
      <c r="E18" s="131"/>
      <c r="F18" s="131"/>
      <c r="G18" s="156"/>
      <c r="H18" s="162"/>
      <c r="I18" s="131"/>
      <c r="J18" s="167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>
        <f t="shared" si="5"/>
        <v>0</v>
      </c>
      <c r="AN18" s="131">
        <f t="shared" si="6"/>
        <v>0</v>
      </c>
      <c r="AO18" s="131"/>
    </row>
    <row r="19" spans="1:41" ht="18" customHeight="1" x14ac:dyDescent="0.3">
      <c r="A19" s="69">
        <v>2122.06</v>
      </c>
      <c r="B19" s="70" t="s">
        <v>69</v>
      </c>
      <c r="C19" s="131"/>
      <c r="D19" s="131"/>
      <c r="E19" s="131"/>
      <c r="F19" s="131"/>
      <c r="G19" s="156"/>
      <c r="H19" s="162"/>
      <c r="I19" s="131"/>
      <c r="J19" s="167"/>
      <c r="K19" s="131"/>
      <c r="L19" s="131"/>
      <c r="M19" s="131">
        <v>2015348.17</v>
      </c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>
        <v>2861027</v>
      </c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>
        <f t="shared" si="5"/>
        <v>0</v>
      </c>
      <c r="AN19" s="131">
        <f t="shared" si="6"/>
        <v>4876375.17</v>
      </c>
      <c r="AO19" s="131"/>
    </row>
    <row r="20" spans="1:41" ht="18" customHeight="1" x14ac:dyDescent="0.3">
      <c r="A20" s="69">
        <v>2151.0100000000002</v>
      </c>
      <c r="B20" s="70" t="s">
        <v>160</v>
      </c>
      <c r="C20" s="131"/>
      <c r="D20" s="131"/>
      <c r="E20" s="131"/>
      <c r="F20" s="131"/>
      <c r="G20" s="156"/>
      <c r="H20" s="162"/>
      <c r="I20" s="131"/>
      <c r="J20" s="167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>
        <f t="shared" si="5"/>
        <v>0</v>
      </c>
      <c r="AN20" s="131">
        <f t="shared" si="6"/>
        <v>0</v>
      </c>
      <c r="AO20" s="131"/>
    </row>
    <row r="21" spans="1:41" x14ac:dyDescent="0.3">
      <c r="A21" s="69">
        <v>2152.0100000000002</v>
      </c>
      <c r="B21" s="70" t="s">
        <v>161</v>
      </c>
      <c r="C21" s="131"/>
      <c r="D21" s="131"/>
      <c r="E21" s="131"/>
      <c r="F21" s="131"/>
      <c r="G21" s="156"/>
      <c r="H21" s="162"/>
      <c r="I21" s="131"/>
      <c r="J21" s="167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>
        <f t="shared" si="5"/>
        <v>0</v>
      </c>
      <c r="AN21" s="131">
        <f t="shared" si="6"/>
        <v>0</v>
      </c>
      <c r="AO21" s="131"/>
    </row>
    <row r="22" spans="1:41" x14ac:dyDescent="0.3">
      <c r="A22" s="69">
        <v>2153.0100000000002</v>
      </c>
      <c r="B22" s="70" t="s">
        <v>162</v>
      </c>
      <c r="C22" s="131"/>
      <c r="D22" s="131"/>
      <c r="E22" s="131"/>
      <c r="F22" s="131"/>
      <c r="G22" s="156"/>
      <c r="H22" s="162"/>
      <c r="I22" s="131"/>
      <c r="J22" s="167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>
        <f t="shared" si="5"/>
        <v>0</v>
      </c>
      <c r="AN22" s="131">
        <f t="shared" si="6"/>
        <v>0</v>
      </c>
      <c r="AO22" s="131"/>
    </row>
    <row r="23" spans="1:41" x14ac:dyDescent="0.3">
      <c r="A23" s="69">
        <v>2212</v>
      </c>
      <c r="B23" s="70" t="s">
        <v>73</v>
      </c>
      <c r="C23" s="131"/>
      <c r="D23" s="131"/>
      <c r="E23" s="131"/>
      <c r="F23" s="131"/>
      <c r="G23" s="156"/>
      <c r="H23" s="162"/>
      <c r="I23" s="131"/>
      <c r="J23" s="167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>
        <f t="shared" si="5"/>
        <v>0</v>
      </c>
      <c r="AN23" s="131">
        <f t="shared" si="6"/>
        <v>0</v>
      </c>
      <c r="AO23" s="131"/>
    </row>
    <row r="24" spans="1:41" x14ac:dyDescent="0.3">
      <c r="A24" s="69">
        <v>2231</v>
      </c>
      <c r="B24" s="70" t="s">
        <v>17</v>
      </c>
      <c r="C24" s="131"/>
      <c r="D24" s="131"/>
      <c r="E24" s="131"/>
      <c r="F24" s="131"/>
      <c r="G24" s="156"/>
      <c r="H24" s="162"/>
      <c r="I24" s="131"/>
      <c r="J24" s="167"/>
      <c r="K24" s="131"/>
      <c r="L24" s="131">
        <f>32900+30450</f>
        <v>63350</v>
      </c>
      <c r="M24" s="137"/>
      <c r="N24" s="137"/>
      <c r="O24" s="131">
        <v>10850</v>
      </c>
      <c r="P24" s="131"/>
      <c r="Q24" s="131"/>
      <c r="R24" s="131">
        <v>56600</v>
      </c>
      <c r="S24" s="131"/>
      <c r="T24" s="131"/>
      <c r="U24" s="131">
        <v>28800</v>
      </c>
      <c r="V24" s="131">
        <v>0</v>
      </c>
      <c r="W24" s="131"/>
      <c r="X24" s="131">
        <v>14200</v>
      </c>
      <c r="Y24" s="131"/>
      <c r="Z24" s="131"/>
      <c r="AA24" s="131">
        <v>27100</v>
      </c>
      <c r="AB24" s="131"/>
      <c r="AC24" s="131"/>
      <c r="AD24" s="131">
        <v>42200</v>
      </c>
      <c r="AE24" s="131"/>
      <c r="AF24" s="131"/>
      <c r="AG24" s="131"/>
      <c r="AH24" s="131"/>
      <c r="AI24" s="131"/>
      <c r="AJ24" s="131"/>
      <c r="AK24" s="131"/>
      <c r="AL24" s="131"/>
      <c r="AM24" s="131">
        <f t="shared" si="5"/>
        <v>243100</v>
      </c>
      <c r="AN24" s="131">
        <f t="shared" si="6"/>
        <v>0</v>
      </c>
      <c r="AO24" s="131"/>
    </row>
    <row r="25" spans="1:41" s="90" customFormat="1" x14ac:dyDescent="0.3">
      <c r="A25" s="69">
        <v>2242.0100000000002</v>
      </c>
      <c r="B25" s="70" t="s">
        <v>18</v>
      </c>
      <c r="C25" s="131"/>
      <c r="D25" s="131">
        <v>0</v>
      </c>
      <c r="E25" s="131"/>
      <c r="F25" s="131"/>
      <c r="G25" s="156"/>
      <c r="H25" s="162"/>
      <c r="I25" s="131"/>
      <c r="J25" s="167">
        <v>3428.7</v>
      </c>
      <c r="K25" s="131"/>
      <c r="L25" s="131"/>
      <c r="M25" s="131"/>
      <c r="N25" s="131"/>
      <c r="O25" s="131"/>
      <c r="P25" s="131">
        <v>13773.35</v>
      </c>
      <c r="Q25" s="131"/>
      <c r="R25" s="131"/>
      <c r="S25" s="131"/>
      <c r="T25" s="131"/>
      <c r="U25" s="131"/>
      <c r="V25" s="131"/>
      <c r="W25" s="131"/>
      <c r="X25" s="131"/>
      <c r="Y25" s="131">
        <v>12969.62</v>
      </c>
      <c r="Z25" s="131"/>
      <c r="AA25" s="131"/>
      <c r="AB25" s="131">
        <v>2814.3</v>
      </c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>
        <f t="shared" si="5"/>
        <v>0</v>
      </c>
      <c r="AN25" s="131">
        <f t="shared" si="6"/>
        <v>32985.97</v>
      </c>
      <c r="AO25" s="131"/>
    </row>
    <row r="26" spans="1:41" x14ac:dyDescent="0.3">
      <c r="A26" s="69">
        <v>2254</v>
      </c>
      <c r="B26" s="70" t="s">
        <v>74</v>
      </c>
      <c r="C26" s="131"/>
      <c r="D26" s="131"/>
      <c r="E26" s="131"/>
      <c r="F26" s="131"/>
      <c r="G26" s="156"/>
      <c r="H26" s="162"/>
      <c r="I26" s="131"/>
      <c r="J26" s="167">
        <v>143000</v>
      </c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>
        <v>64000</v>
      </c>
      <c r="Z26" s="131"/>
      <c r="AA26" s="131"/>
      <c r="AB26" s="131">
        <v>39000</v>
      </c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>
        <f t="shared" si="5"/>
        <v>0</v>
      </c>
      <c r="AN26" s="131">
        <f t="shared" si="6"/>
        <v>246000</v>
      </c>
      <c r="AO26" s="131"/>
    </row>
    <row r="27" spans="1:41" x14ac:dyDescent="0.3">
      <c r="A27" s="69">
        <v>2251</v>
      </c>
      <c r="B27" s="70" t="s">
        <v>76</v>
      </c>
      <c r="C27" s="131"/>
      <c r="D27" s="131"/>
      <c r="E27" s="131"/>
      <c r="F27" s="131"/>
      <c r="G27" s="156"/>
      <c r="H27" s="162"/>
      <c r="I27" s="131"/>
      <c r="J27" s="167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>
        <f t="shared" si="5"/>
        <v>0</v>
      </c>
      <c r="AN27" s="131">
        <f t="shared" si="6"/>
        <v>0</v>
      </c>
      <c r="AO27" s="131"/>
    </row>
    <row r="28" spans="1:41" x14ac:dyDescent="0.3">
      <c r="A28" s="69">
        <v>2282.0100000000002</v>
      </c>
      <c r="B28" s="70" t="s">
        <v>19</v>
      </c>
      <c r="C28" s="131"/>
      <c r="D28" s="131">
        <v>879.51</v>
      </c>
      <c r="E28" s="131"/>
      <c r="F28" s="131"/>
      <c r="G28" s="156">
        <v>7443.75</v>
      </c>
      <c r="H28" s="162"/>
      <c r="I28" s="131"/>
      <c r="J28" s="167">
        <v>5973.1</v>
      </c>
      <c r="K28" s="131"/>
      <c r="L28" s="131">
        <f>2237.44+2219.55</f>
        <v>4456.99</v>
      </c>
      <c r="M28" s="131">
        <v>8874.0499999999993</v>
      </c>
      <c r="N28" s="131"/>
      <c r="O28" s="131">
        <v>2224.16</v>
      </c>
      <c r="P28" s="131">
        <v>8533.76</v>
      </c>
      <c r="Q28" s="131"/>
      <c r="R28" s="131">
        <v>4453.7</v>
      </c>
      <c r="S28" s="131">
        <v>7474.25</v>
      </c>
      <c r="T28" s="131"/>
      <c r="U28" s="131">
        <v>2222.0500000000002</v>
      </c>
      <c r="V28" s="131">
        <v>5268.64</v>
      </c>
      <c r="W28" s="131"/>
      <c r="X28" s="131">
        <v>2243.3200000000002</v>
      </c>
      <c r="Y28" s="131">
        <v>7100.82</v>
      </c>
      <c r="Z28" s="131"/>
      <c r="AA28" s="131">
        <v>2271.36</v>
      </c>
      <c r="AB28" s="131">
        <v>13094.87</v>
      </c>
      <c r="AC28" s="131"/>
      <c r="AD28" s="131">
        <f>2269.31</f>
        <v>2269.31</v>
      </c>
      <c r="AE28" s="131">
        <v>8096.49</v>
      </c>
      <c r="AF28" s="131"/>
      <c r="AG28" s="131"/>
      <c r="AH28" s="131"/>
      <c r="AI28" s="131"/>
      <c r="AJ28" s="131"/>
      <c r="AK28" s="131"/>
      <c r="AL28" s="131"/>
      <c r="AM28" s="131">
        <f t="shared" si="5"/>
        <v>20140.89</v>
      </c>
      <c r="AN28" s="131">
        <f t="shared" si="6"/>
        <v>72739.240000000005</v>
      </c>
      <c r="AO28" s="131"/>
    </row>
    <row r="29" spans="1:41" x14ac:dyDescent="0.3">
      <c r="A29" s="69">
        <v>2272.06</v>
      </c>
      <c r="B29" s="70" t="s">
        <v>20</v>
      </c>
      <c r="C29" s="131"/>
      <c r="D29" s="131">
        <v>0</v>
      </c>
      <c r="E29" s="131"/>
      <c r="F29" s="131"/>
      <c r="G29" s="156">
        <f>44604+180540+140973.5</f>
        <v>366117.5</v>
      </c>
      <c r="H29" s="162"/>
      <c r="I29" s="131"/>
      <c r="J29" s="167">
        <v>70000</v>
      </c>
      <c r="K29" s="131"/>
      <c r="L29" s="131"/>
      <c r="M29" s="131">
        <v>245598.7</v>
      </c>
      <c r="N29" s="131"/>
      <c r="O29" s="131"/>
      <c r="P29" s="131">
        <v>183972.2</v>
      </c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>
        <v>546340</v>
      </c>
      <c r="AB29" s="131">
        <f>853140+100000</f>
        <v>953140</v>
      </c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>
        <f t="shared" si="5"/>
        <v>546340</v>
      </c>
      <c r="AN29" s="131">
        <f t="shared" si="6"/>
        <v>1818828.4</v>
      </c>
      <c r="AO29" s="131"/>
    </row>
    <row r="30" spans="1:41" x14ac:dyDescent="0.3">
      <c r="A30" s="69">
        <v>265</v>
      </c>
      <c r="B30" s="70" t="s">
        <v>86</v>
      </c>
      <c r="C30" s="131"/>
      <c r="D30" s="131"/>
      <c r="E30" s="131"/>
      <c r="F30" s="131"/>
      <c r="G30" s="156"/>
      <c r="H30" s="162"/>
      <c r="I30" s="131"/>
      <c r="J30" s="167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>
        <f t="shared" si="5"/>
        <v>0</v>
      </c>
      <c r="AN30" s="131">
        <f t="shared" si="6"/>
        <v>0</v>
      </c>
      <c r="AO30" s="131"/>
    </row>
    <row r="31" spans="1:41" x14ac:dyDescent="0.3">
      <c r="A31" s="69">
        <v>2271</v>
      </c>
      <c r="B31" s="70" t="s">
        <v>94</v>
      </c>
      <c r="C31" s="131"/>
      <c r="D31" s="131"/>
      <c r="E31" s="131"/>
      <c r="F31" s="131"/>
      <c r="G31" s="156"/>
      <c r="H31" s="162"/>
      <c r="I31" s="131"/>
      <c r="J31" s="167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>
        <f t="shared" si="5"/>
        <v>0</v>
      </c>
      <c r="AN31" s="131">
        <f t="shared" si="6"/>
        <v>0</v>
      </c>
      <c r="AO31" s="131"/>
    </row>
    <row r="32" spans="1:41" x14ac:dyDescent="0.3">
      <c r="A32" s="69">
        <v>2285.0100000000002</v>
      </c>
      <c r="B32" s="70" t="s">
        <v>163</v>
      </c>
      <c r="C32" s="131"/>
      <c r="D32" s="131"/>
      <c r="E32" s="131"/>
      <c r="F32" s="131"/>
      <c r="G32" s="156"/>
      <c r="H32" s="162"/>
      <c r="I32" s="131"/>
      <c r="J32" s="167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>
        <f t="shared" si="5"/>
        <v>0</v>
      </c>
      <c r="AN32" s="131">
        <f t="shared" si="6"/>
        <v>0</v>
      </c>
      <c r="AO32" s="131"/>
    </row>
    <row r="33" spans="1:43" x14ac:dyDescent="0.3">
      <c r="A33" s="69">
        <v>2712.02</v>
      </c>
      <c r="B33" s="71" t="s">
        <v>98</v>
      </c>
      <c r="C33" s="132"/>
      <c r="D33" s="132"/>
      <c r="E33" s="132"/>
      <c r="F33" s="132"/>
      <c r="G33" s="157"/>
      <c r="H33" s="163"/>
      <c r="I33" s="132"/>
      <c r="J33" s="168"/>
      <c r="K33" s="132"/>
      <c r="L33" s="132"/>
      <c r="M33" s="132"/>
      <c r="N33" s="132"/>
      <c r="O33" s="132"/>
      <c r="P33" s="132">
        <v>42408</v>
      </c>
      <c r="Q33" s="132"/>
      <c r="R33" s="132"/>
      <c r="S33" s="132">
        <v>140000</v>
      </c>
      <c r="T33" s="132"/>
      <c r="U33" s="132"/>
      <c r="V33" s="132">
        <v>201060</v>
      </c>
      <c r="W33" s="132"/>
      <c r="X33" s="132"/>
      <c r="Y33" s="132">
        <f>186000+269781.04+233640+140000</f>
        <v>829421.04</v>
      </c>
      <c r="Z33" s="132"/>
      <c r="AA33" s="132"/>
      <c r="AB33" s="132"/>
      <c r="AC33" s="132"/>
      <c r="AD33" s="132"/>
      <c r="AE33" s="132">
        <f>100000+0</f>
        <v>100000</v>
      </c>
      <c r="AF33" s="132"/>
      <c r="AG33" s="132"/>
      <c r="AH33" s="132"/>
      <c r="AI33" s="132"/>
      <c r="AJ33" s="132"/>
      <c r="AK33" s="132"/>
      <c r="AL33" s="132"/>
      <c r="AM33" s="131">
        <f t="shared" si="5"/>
        <v>0</v>
      </c>
      <c r="AN33" s="131">
        <f t="shared" si="6"/>
        <v>1312889.04</v>
      </c>
      <c r="AO33" s="131"/>
    </row>
    <row r="34" spans="1:43" x14ac:dyDescent="0.3">
      <c r="A34" s="69">
        <v>2396.0100000000002</v>
      </c>
      <c r="B34" s="70" t="s">
        <v>25</v>
      </c>
      <c r="C34" s="131"/>
      <c r="D34" s="131">
        <v>0</v>
      </c>
      <c r="E34" s="131"/>
      <c r="F34" s="131"/>
      <c r="G34" s="156"/>
      <c r="H34" s="162"/>
      <c r="I34" s="131"/>
      <c r="J34" s="167">
        <v>1722.8</v>
      </c>
      <c r="K34" s="131"/>
      <c r="L34" s="131"/>
      <c r="M34" s="131"/>
      <c r="N34" s="131"/>
      <c r="O34" s="131"/>
      <c r="P34" s="131">
        <v>53954.239999999998</v>
      </c>
      <c r="Q34" s="131"/>
      <c r="R34" s="131"/>
      <c r="S34" s="131"/>
      <c r="T34" s="131"/>
      <c r="U34" s="131"/>
      <c r="V34" s="131">
        <v>248815</v>
      </c>
      <c r="W34" s="131"/>
      <c r="X34" s="131"/>
      <c r="Y34" s="131"/>
      <c r="Z34" s="131"/>
      <c r="AA34" s="131"/>
      <c r="AB34" s="131"/>
      <c r="AC34" s="131"/>
      <c r="AD34" s="131"/>
      <c r="AE34" s="131">
        <v>8327.26</v>
      </c>
      <c r="AF34" s="131"/>
      <c r="AG34" s="131"/>
      <c r="AH34" s="131"/>
      <c r="AI34" s="131"/>
      <c r="AJ34" s="131"/>
      <c r="AK34" s="131"/>
      <c r="AL34" s="131"/>
      <c r="AM34" s="131">
        <f t="shared" si="5"/>
        <v>0</v>
      </c>
      <c r="AN34" s="131">
        <f t="shared" si="6"/>
        <v>312819.3</v>
      </c>
      <c r="AO34" s="131"/>
    </row>
    <row r="35" spans="1:43" x14ac:dyDescent="0.3">
      <c r="A35" s="69">
        <v>2311.0100000000002</v>
      </c>
      <c r="B35" s="70" t="s">
        <v>21</v>
      </c>
      <c r="C35" s="131"/>
      <c r="D35" s="131">
        <v>0</v>
      </c>
      <c r="E35" s="131"/>
      <c r="F35" s="131"/>
      <c r="G35" s="156">
        <v>256442.5</v>
      </c>
      <c r="H35" s="162"/>
      <c r="I35" s="131"/>
      <c r="J35" s="167">
        <v>130806.82</v>
      </c>
      <c r="K35" s="131"/>
      <c r="L35" s="131">
        <v>176388.64</v>
      </c>
      <c r="M35" s="131">
        <v>308055</v>
      </c>
      <c r="N35" s="131"/>
      <c r="O35" s="131"/>
      <c r="P35" s="131">
        <v>145355</v>
      </c>
      <c r="Q35" s="131"/>
      <c r="R35" s="131"/>
      <c r="S35" s="131">
        <v>632006.69999999995</v>
      </c>
      <c r="T35" s="131"/>
      <c r="U35" s="131"/>
      <c r="V35" s="131">
        <v>469424</v>
      </c>
      <c r="W35" s="131"/>
      <c r="X35" s="131">
        <v>461870</v>
      </c>
      <c r="Y35" s="131">
        <v>104422.9</v>
      </c>
      <c r="Z35" s="131"/>
      <c r="AA35" s="131"/>
      <c r="AB35" s="131">
        <v>515426</v>
      </c>
      <c r="AC35" s="131"/>
      <c r="AD35" s="131"/>
      <c r="AE35" s="131">
        <v>338395</v>
      </c>
      <c r="AF35" s="131"/>
      <c r="AG35" s="131"/>
      <c r="AH35" s="131"/>
      <c r="AI35" s="131"/>
      <c r="AJ35" s="131"/>
      <c r="AK35" s="131"/>
      <c r="AL35" s="131"/>
      <c r="AM35" s="131">
        <f t="shared" si="5"/>
        <v>638258.64</v>
      </c>
      <c r="AN35" s="131">
        <f t="shared" si="6"/>
        <v>2900333.92</v>
      </c>
      <c r="AO35" s="131"/>
    </row>
    <row r="36" spans="1:43" x14ac:dyDescent="0.3">
      <c r="A36" s="69">
        <v>2292.0100000000002</v>
      </c>
      <c r="B36" s="70" t="s">
        <v>90</v>
      </c>
      <c r="C36" s="131"/>
      <c r="D36" s="131"/>
      <c r="E36" s="131"/>
      <c r="F36" s="131"/>
      <c r="G36" s="156"/>
      <c r="H36" s="162"/>
      <c r="I36" s="131"/>
      <c r="J36" s="167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>
        <v>59590</v>
      </c>
      <c r="AF36" s="131"/>
      <c r="AG36" s="131"/>
      <c r="AH36" s="131"/>
      <c r="AI36" s="131"/>
      <c r="AJ36" s="131"/>
      <c r="AK36" s="131"/>
      <c r="AL36" s="131"/>
      <c r="AM36" s="131">
        <f t="shared" si="5"/>
        <v>0</v>
      </c>
      <c r="AN36" s="131">
        <f t="shared" si="6"/>
        <v>59590</v>
      </c>
      <c r="AO36" s="131"/>
    </row>
    <row r="37" spans="1:43" x14ac:dyDescent="0.3">
      <c r="A37" s="69">
        <v>2392.0100000000002</v>
      </c>
      <c r="B37" s="70" t="s">
        <v>77</v>
      </c>
      <c r="C37" s="131"/>
      <c r="D37" s="131">
        <v>0</v>
      </c>
      <c r="E37" s="131"/>
      <c r="F37" s="131"/>
      <c r="G37" s="156">
        <v>2982.4</v>
      </c>
      <c r="H37" s="162"/>
      <c r="I37" s="131"/>
      <c r="J37" s="167">
        <f>10513.8+57136.2+51873.6</f>
        <v>119523.6</v>
      </c>
      <c r="K37" s="131"/>
      <c r="L37" s="131"/>
      <c r="M37" s="131">
        <v>53200</v>
      </c>
      <c r="N37" s="131"/>
      <c r="O37" s="131"/>
      <c r="P37" s="131">
        <v>3124.45</v>
      </c>
      <c r="Q37" s="131"/>
      <c r="R37" s="131"/>
      <c r="S37" s="131">
        <v>92050.35</v>
      </c>
      <c r="T37" s="131"/>
      <c r="U37" s="131"/>
      <c r="V37" s="131"/>
      <c r="W37" s="131"/>
      <c r="X37" s="131"/>
      <c r="Y37" s="131">
        <v>228581.95</v>
      </c>
      <c r="Z37" s="131"/>
      <c r="AA37" s="131"/>
      <c r="AB37" s="131"/>
      <c r="AC37" s="131"/>
      <c r="AD37" s="131"/>
      <c r="AE37" s="131">
        <v>146732.26</v>
      </c>
      <c r="AF37" s="131"/>
      <c r="AG37" s="131"/>
      <c r="AH37" s="131"/>
      <c r="AI37" s="131"/>
      <c r="AJ37" s="131"/>
      <c r="AK37" s="131"/>
      <c r="AL37" s="131"/>
      <c r="AM37" s="131">
        <f t="shared" si="5"/>
        <v>0</v>
      </c>
      <c r="AN37" s="131">
        <f t="shared" si="6"/>
        <v>646195.01</v>
      </c>
      <c r="AO37" s="131"/>
    </row>
    <row r="38" spans="1:43" x14ac:dyDescent="0.3">
      <c r="A38" s="69">
        <v>233</v>
      </c>
      <c r="B38" s="70" t="s">
        <v>164</v>
      </c>
      <c r="C38" s="131"/>
      <c r="D38" s="131"/>
      <c r="E38" s="131"/>
      <c r="F38" s="131"/>
      <c r="G38" s="156">
        <v>6800</v>
      </c>
      <c r="H38" s="162"/>
      <c r="I38" s="131"/>
      <c r="J38" s="167">
        <v>52111.8</v>
      </c>
      <c r="K38" s="131"/>
      <c r="L38" s="131"/>
      <c r="M38" s="131">
        <f>65507+109710</f>
        <v>175217</v>
      </c>
      <c r="N38" s="131"/>
      <c r="O38" s="131"/>
      <c r="P38" s="131">
        <v>4200</v>
      </c>
      <c r="Q38" s="131"/>
      <c r="R38" s="131"/>
      <c r="S38" s="131">
        <v>426225.41000000003</v>
      </c>
      <c r="T38" s="131"/>
      <c r="U38" s="131"/>
      <c r="V38" s="131"/>
      <c r="W38" s="131"/>
      <c r="X38" s="131"/>
      <c r="Y38" s="131"/>
      <c r="Z38" s="131"/>
      <c r="AA38" s="131"/>
      <c r="AB38" s="131">
        <v>117159</v>
      </c>
      <c r="AC38" s="131"/>
      <c r="AD38" s="131"/>
      <c r="AE38" s="131">
        <f>208736.74+107162.04</f>
        <v>315898.77999999997</v>
      </c>
      <c r="AF38" s="131"/>
      <c r="AG38" s="131"/>
      <c r="AH38" s="131"/>
      <c r="AI38" s="131"/>
      <c r="AJ38" s="131"/>
      <c r="AK38" s="131"/>
      <c r="AL38" s="131"/>
      <c r="AM38" s="131">
        <f t="shared" si="5"/>
        <v>0</v>
      </c>
      <c r="AN38" s="131">
        <f t="shared" si="6"/>
        <v>1097611.99</v>
      </c>
      <c r="AO38" s="131"/>
    </row>
    <row r="39" spans="1:43" x14ac:dyDescent="0.3">
      <c r="A39" s="69">
        <v>222</v>
      </c>
      <c r="B39" s="70" t="s">
        <v>89</v>
      </c>
      <c r="C39" s="131"/>
      <c r="D39" s="131"/>
      <c r="E39" s="131"/>
      <c r="F39" s="131"/>
      <c r="G39" s="156"/>
      <c r="H39" s="162"/>
      <c r="I39" s="131"/>
      <c r="J39" s="167"/>
      <c r="K39" s="131"/>
      <c r="L39" s="131"/>
      <c r="M39" s="131"/>
      <c r="N39" s="131"/>
      <c r="O39" s="131"/>
      <c r="P39" s="131"/>
      <c r="Q39" s="131"/>
      <c r="R39" s="131"/>
      <c r="S39" s="131">
        <v>60121</v>
      </c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>
        <f>252189.6+3540</f>
        <v>255729.6</v>
      </c>
      <c r="AF39" s="131"/>
      <c r="AG39" s="131"/>
      <c r="AH39" s="131"/>
      <c r="AI39" s="131"/>
      <c r="AJ39" s="131"/>
      <c r="AK39" s="131"/>
      <c r="AL39" s="131"/>
      <c r="AM39" s="131">
        <f t="shared" si="5"/>
        <v>0</v>
      </c>
      <c r="AN39" s="131">
        <f t="shared" si="6"/>
        <v>315850.59999999998</v>
      </c>
      <c r="AO39" s="131"/>
    </row>
    <row r="40" spans="1:43" x14ac:dyDescent="0.3">
      <c r="A40" s="69">
        <v>2341.0100000000002</v>
      </c>
      <c r="B40" s="70" t="s">
        <v>79</v>
      </c>
      <c r="C40" s="131"/>
      <c r="D40" s="131">
        <v>0</v>
      </c>
      <c r="E40" s="131"/>
      <c r="F40" s="131"/>
      <c r="G40" s="156">
        <v>629275</v>
      </c>
      <c r="H40" s="162"/>
      <c r="I40" s="131"/>
      <c r="J40" s="167">
        <v>1275031</v>
      </c>
      <c r="K40" s="131"/>
      <c r="L40" s="131">
        <f>962330.5+433675</f>
        <v>1396005.5</v>
      </c>
      <c r="M40" s="131">
        <v>24526</v>
      </c>
      <c r="N40" s="131"/>
      <c r="O40" s="131">
        <v>1410</v>
      </c>
      <c r="P40" s="131">
        <v>862707.99</v>
      </c>
      <c r="Q40" s="131"/>
      <c r="R40" s="131"/>
      <c r="S40" s="131">
        <v>559792</v>
      </c>
      <c r="T40" s="131"/>
      <c r="U40" s="131">
        <v>906330</v>
      </c>
      <c r="V40" s="131">
        <v>373545</v>
      </c>
      <c r="W40" s="131"/>
      <c r="X40" s="131">
        <v>30000</v>
      </c>
      <c r="Y40" s="131">
        <v>874117</v>
      </c>
      <c r="Z40" s="131"/>
      <c r="AA40" s="131">
        <v>29000</v>
      </c>
      <c r="AB40" s="131">
        <v>2193968</v>
      </c>
      <c r="AC40" s="131"/>
      <c r="AD40" s="131">
        <v>462585.82</v>
      </c>
      <c r="AE40" s="131">
        <v>283400</v>
      </c>
      <c r="AF40" s="131"/>
      <c r="AG40" s="131"/>
      <c r="AH40" s="131"/>
      <c r="AI40" s="131"/>
      <c r="AJ40" s="131"/>
      <c r="AK40" s="131"/>
      <c r="AL40" s="131"/>
      <c r="AM40" s="131">
        <f t="shared" si="5"/>
        <v>2825331.32</v>
      </c>
      <c r="AN40" s="131">
        <f t="shared" si="6"/>
        <v>7076361.9900000002</v>
      </c>
      <c r="AO40" s="131"/>
    </row>
    <row r="41" spans="1:43" x14ac:dyDescent="0.3">
      <c r="A41" s="69">
        <v>2393.0100000000002</v>
      </c>
      <c r="B41" s="71" t="s">
        <v>78</v>
      </c>
      <c r="C41" s="132"/>
      <c r="D41" s="132">
        <v>0</v>
      </c>
      <c r="E41" s="132"/>
      <c r="F41" s="132"/>
      <c r="G41" s="157">
        <v>1432393.47</v>
      </c>
      <c r="H41" s="163"/>
      <c r="I41" s="132"/>
      <c r="J41" s="168">
        <v>114628.94</v>
      </c>
      <c r="K41" s="132"/>
      <c r="L41" s="132">
        <f>499630.5+184788</f>
        <v>684418.5</v>
      </c>
      <c r="M41" s="132">
        <v>944725.66</v>
      </c>
      <c r="N41" s="132"/>
      <c r="O41" s="132">
        <v>1485197.98</v>
      </c>
      <c r="P41" s="132">
        <v>1505388.17</v>
      </c>
      <c r="Q41" s="132"/>
      <c r="R41" s="132">
        <v>2487290.09</v>
      </c>
      <c r="S41" s="132">
        <v>1072772.31</v>
      </c>
      <c r="T41" s="132"/>
      <c r="U41" s="132">
        <v>562010.4</v>
      </c>
      <c r="V41" s="132">
        <v>483753.56</v>
      </c>
      <c r="W41" s="132"/>
      <c r="X41" s="132">
        <v>459479.1</v>
      </c>
      <c r="Y41" s="132">
        <v>737691.46</v>
      </c>
      <c r="Z41" s="132"/>
      <c r="AA41" s="132"/>
      <c r="AB41" s="132">
        <v>343854.44</v>
      </c>
      <c r="AC41" s="132"/>
      <c r="AD41" s="132">
        <v>314733.48</v>
      </c>
      <c r="AE41" s="132">
        <v>1186277.7</v>
      </c>
      <c r="AF41" s="132"/>
      <c r="AG41" s="132"/>
      <c r="AH41" s="132"/>
      <c r="AI41" s="132"/>
      <c r="AJ41" s="132"/>
      <c r="AK41" s="132"/>
      <c r="AL41" s="132"/>
      <c r="AM41" s="131">
        <f t="shared" si="5"/>
        <v>5993129.5500000007</v>
      </c>
      <c r="AN41" s="131">
        <f t="shared" si="6"/>
        <v>7821485.71</v>
      </c>
      <c r="AO41" s="131"/>
    </row>
    <row r="42" spans="1:43" x14ac:dyDescent="0.3">
      <c r="A42" s="69">
        <v>2372.0300000000002</v>
      </c>
      <c r="B42" s="70" t="s">
        <v>95</v>
      </c>
      <c r="C42" s="131"/>
      <c r="D42" s="131">
        <v>0</v>
      </c>
      <c r="E42" s="131"/>
      <c r="F42" s="131"/>
      <c r="G42" s="156">
        <v>577590.52</v>
      </c>
      <c r="H42" s="162"/>
      <c r="I42" s="131"/>
      <c r="J42" s="167">
        <v>1174438.19</v>
      </c>
      <c r="K42" s="131"/>
      <c r="L42" s="131">
        <f>3740+668406.49</f>
        <v>672146.49</v>
      </c>
      <c r="M42" s="131">
        <v>1162639.76</v>
      </c>
      <c r="N42" s="131"/>
      <c r="O42" s="131"/>
      <c r="P42" s="131">
        <v>718320.17</v>
      </c>
      <c r="Q42" s="131"/>
      <c r="R42" s="131">
        <v>448893.18</v>
      </c>
      <c r="S42" s="131">
        <v>911313.38</v>
      </c>
      <c r="T42" s="131"/>
      <c r="U42" s="131"/>
      <c r="V42" s="131">
        <v>611764.06000000006</v>
      </c>
      <c r="W42" s="131"/>
      <c r="X42" s="131">
        <v>530526.69999999995</v>
      </c>
      <c r="Y42" s="131">
        <v>195889.03</v>
      </c>
      <c r="Z42" s="131"/>
      <c r="AA42" s="131">
        <v>895041.1</v>
      </c>
      <c r="AB42" s="131">
        <v>384666.58</v>
      </c>
      <c r="AC42" s="131"/>
      <c r="AD42" s="131">
        <v>658430.67000000004</v>
      </c>
      <c r="AE42" s="131">
        <v>325865.59999999998</v>
      </c>
      <c r="AF42" s="131"/>
      <c r="AG42" s="131"/>
      <c r="AH42" s="131"/>
      <c r="AI42" s="131"/>
      <c r="AJ42" s="131"/>
      <c r="AK42" s="131"/>
      <c r="AL42" s="131"/>
      <c r="AM42" s="131">
        <f t="shared" si="5"/>
        <v>3205038.1399999997</v>
      </c>
      <c r="AN42" s="131">
        <f t="shared" si="6"/>
        <v>6062487.2899999991</v>
      </c>
      <c r="AO42" s="131"/>
    </row>
    <row r="43" spans="1:43" x14ac:dyDescent="0.3">
      <c r="A43" s="69">
        <v>2372.0300000000002</v>
      </c>
      <c r="B43" s="70" t="s">
        <v>26</v>
      </c>
      <c r="C43" s="131"/>
      <c r="D43" s="131">
        <v>0</v>
      </c>
      <c r="E43" s="131"/>
      <c r="F43" s="131"/>
      <c r="G43" s="156">
        <v>55016.639999999999</v>
      </c>
      <c r="H43" s="162"/>
      <c r="I43" s="131"/>
      <c r="J43" s="167">
        <v>2478</v>
      </c>
      <c r="K43" s="131"/>
      <c r="L43" s="131"/>
      <c r="M43" s="131"/>
      <c r="N43" s="131"/>
      <c r="O43" s="131"/>
      <c r="P43" s="131">
        <v>381424.28</v>
      </c>
      <c r="Q43" s="131"/>
      <c r="R43" s="131"/>
      <c r="S43" s="131">
        <v>41931</v>
      </c>
      <c r="T43" s="131"/>
      <c r="U43" s="131"/>
      <c r="V43" s="131"/>
      <c r="W43" s="131"/>
      <c r="X43" s="131"/>
      <c r="Y43" s="131">
        <v>661858.75</v>
      </c>
      <c r="Z43" s="131"/>
      <c r="AA43" s="131"/>
      <c r="AB43" s="131"/>
      <c r="AC43" s="131"/>
      <c r="AD43" s="131"/>
      <c r="AE43" s="131">
        <v>301600</v>
      </c>
      <c r="AF43" s="131"/>
      <c r="AG43" s="131"/>
      <c r="AH43" s="131"/>
      <c r="AI43" s="131"/>
      <c r="AJ43" s="131"/>
      <c r="AK43" s="131"/>
      <c r="AL43" s="131"/>
      <c r="AM43" s="131">
        <f t="shared" si="5"/>
        <v>0</v>
      </c>
      <c r="AN43" s="131">
        <f t="shared" si="6"/>
        <v>1444308.67</v>
      </c>
      <c r="AO43" s="131"/>
    </row>
    <row r="44" spans="1:43" x14ac:dyDescent="0.3">
      <c r="A44" s="69">
        <v>2355.0100000000002</v>
      </c>
      <c r="B44" s="70" t="s">
        <v>80</v>
      </c>
      <c r="C44" s="131"/>
      <c r="D44" s="131">
        <v>0</v>
      </c>
      <c r="E44" s="131"/>
      <c r="F44" s="131"/>
      <c r="G44" s="156">
        <v>128400</v>
      </c>
      <c r="H44" s="162"/>
      <c r="I44" s="131"/>
      <c r="J44" s="167">
        <v>41000</v>
      </c>
      <c r="K44" s="131"/>
      <c r="L44" s="131"/>
      <c r="M44" s="131">
        <v>77650</v>
      </c>
      <c r="N44" s="131"/>
      <c r="O44" s="131"/>
      <c r="P44" s="131">
        <v>167865</v>
      </c>
      <c r="Q44" s="131"/>
      <c r="R44" s="131"/>
      <c r="S44" s="131">
        <v>127075</v>
      </c>
      <c r="T44" s="131"/>
      <c r="U44" s="131"/>
      <c r="V44" s="131">
        <v>75360</v>
      </c>
      <c r="W44" s="131"/>
      <c r="X44" s="131"/>
      <c r="Y44" s="131">
        <v>60315</v>
      </c>
      <c r="Z44" s="131"/>
      <c r="AA44" s="131"/>
      <c r="AB44" s="131">
        <v>123530</v>
      </c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>
        <f t="shared" si="5"/>
        <v>0</v>
      </c>
      <c r="AN44" s="131">
        <f t="shared" si="6"/>
        <v>801195</v>
      </c>
      <c r="AO44" s="131"/>
    </row>
    <row r="45" spans="1:43" x14ac:dyDescent="0.3">
      <c r="A45" s="69">
        <v>2371.0100000000002</v>
      </c>
      <c r="B45" s="70" t="s">
        <v>22</v>
      </c>
      <c r="C45" s="131"/>
      <c r="D45" s="131"/>
      <c r="E45" s="131"/>
      <c r="F45" s="131"/>
      <c r="G45" s="156"/>
      <c r="H45" s="162"/>
      <c r="I45" s="131"/>
      <c r="J45" s="167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>
        <f t="shared" si="5"/>
        <v>0</v>
      </c>
      <c r="AN45" s="131">
        <f t="shared" si="6"/>
        <v>0</v>
      </c>
      <c r="AO45" s="131"/>
    </row>
    <row r="46" spans="1:43" x14ac:dyDescent="0.3">
      <c r="A46" s="69">
        <v>2371.02</v>
      </c>
      <c r="B46" s="70" t="s">
        <v>23</v>
      </c>
      <c r="C46" s="131"/>
      <c r="D46" s="131">
        <v>236100</v>
      </c>
      <c r="E46" s="131"/>
      <c r="F46" s="131"/>
      <c r="G46" s="156">
        <v>162600</v>
      </c>
      <c r="H46" s="162"/>
      <c r="I46" s="131"/>
      <c r="J46" s="167"/>
      <c r="K46" s="131"/>
      <c r="L46" s="131"/>
      <c r="M46" s="131">
        <v>328449.86</v>
      </c>
      <c r="N46" s="131"/>
      <c r="O46" s="131"/>
      <c r="P46" s="131">
        <v>197900</v>
      </c>
      <c r="Q46" s="131"/>
      <c r="R46" s="131"/>
      <c r="S46" s="131">
        <v>287721.01</v>
      </c>
      <c r="T46" s="131"/>
      <c r="U46" s="131"/>
      <c r="V46" s="131">
        <v>189299.58</v>
      </c>
      <c r="W46" s="131"/>
      <c r="X46" s="131"/>
      <c r="Y46" s="131">
        <v>246550</v>
      </c>
      <c r="Z46" s="131"/>
      <c r="AA46" s="131"/>
      <c r="AB46" s="131">
        <v>287000</v>
      </c>
      <c r="AC46" s="131"/>
      <c r="AD46" s="131"/>
      <c r="AE46" s="131">
        <v>406398.06</v>
      </c>
      <c r="AF46" s="131"/>
      <c r="AG46" s="131"/>
      <c r="AH46" s="131"/>
      <c r="AI46" s="131"/>
      <c r="AJ46" s="131"/>
      <c r="AK46" s="131"/>
      <c r="AL46" s="131"/>
      <c r="AM46" s="131">
        <f t="shared" si="5"/>
        <v>0</v>
      </c>
      <c r="AN46" s="131">
        <f t="shared" si="6"/>
        <v>2342018.5099999998</v>
      </c>
      <c r="AO46" s="131"/>
    </row>
    <row r="47" spans="1:43" x14ac:dyDescent="0.3">
      <c r="A47" s="69">
        <v>2371.04</v>
      </c>
      <c r="B47" s="70" t="s">
        <v>24</v>
      </c>
      <c r="C47" s="131"/>
      <c r="D47" s="131"/>
      <c r="E47" s="131"/>
      <c r="F47" s="131"/>
      <c r="G47" s="156"/>
      <c r="H47" s="162"/>
      <c r="I47" s="131"/>
      <c r="J47" s="167">
        <v>45464.56</v>
      </c>
      <c r="K47" s="131"/>
      <c r="L47" s="131"/>
      <c r="M47" s="131"/>
      <c r="N47" s="131"/>
      <c r="O47" s="131"/>
      <c r="P47" s="131">
        <v>26520</v>
      </c>
      <c r="Q47" s="131"/>
      <c r="R47" s="131"/>
      <c r="S47" s="131">
        <v>43212.08</v>
      </c>
      <c r="T47" s="131"/>
      <c r="U47" s="131"/>
      <c r="V47" s="131"/>
      <c r="W47" s="131"/>
      <c r="X47" s="131"/>
      <c r="Y47" s="131"/>
      <c r="Z47" s="131"/>
      <c r="AA47" s="131"/>
      <c r="AB47" s="131">
        <v>38612.199999999997</v>
      </c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>
        <f t="shared" si="5"/>
        <v>0</v>
      </c>
      <c r="AN47" s="131">
        <f t="shared" si="6"/>
        <v>153808.84</v>
      </c>
      <c r="AO47" s="131"/>
      <c r="AQ47" s="133"/>
    </row>
    <row r="48" spans="1:43" x14ac:dyDescent="0.3">
      <c r="A48" s="69">
        <v>2371.0500000000002</v>
      </c>
      <c r="B48" s="70" t="s">
        <v>88</v>
      </c>
      <c r="C48" s="131"/>
      <c r="D48" s="131"/>
      <c r="E48" s="131"/>
      <c r="F48" s="131"/>
      <c r="G48" s="156"/>
      <c r="H48" s="162"/>
      <c r="I48" s="131"/>
      <c r="J48" s="167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>
        <v>1750</v>
      </c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>
        <f t="shared" si="5"/>
        <v>0</v>
      </c>
      <c r="AN48" s="131">
        <f t="shared" si="6"/>
        <v>1750</v>
      </c>
      <c r="AO48" s="131"/>
    </row>
    <row r="49" spans="1:43" x14ac:dyDescent="0.3">
      <c r="A49" s="69">
        <v>2371.06</v>
      </c>
      <c r="B49" s="70" t="s">
        <v>87</v>
      </c>
      <c r="C49" s="131"/>
      <c r="D49" s="131"/>
      <c r="E49" s="131"/>
      <c r="F49" s="131"/>
      <c r="G49" s="156"/>
      <c r="H49" s="162"/>
      <c r="I49" s="131"/>
      <c r="J49" s="167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>
        <f t="shared" si="5"/>
        <v>0</v>
      </c>
      <c r="AN49" s="131">
        <f t="shared" si="6"/>
        <v>0</v>
      </c>
      <c r="AO49" s="131"/>
      <c r="AQ49" s="133"/>
    </row>
    <row r="50" spans="1:43" x14ac:dyDescent="0.3">
      <c r="A50" s="69">
        <v>2391.0100000000002</v>
      </c>
      <c r="B50" s="70" t="s">
        <v>82</v>
      </c>
      <c r="C50" s="131"/>
      <c r="D50" s="131"/>
      <c r="E50" s="131"/>
      <c r="F50" s="131"/>
      <c r="G50" s="156">
        <v>8644</v>
      </c>
      <c r="H50" s="162"/>
      <c r="I50" s="131"/>
      <c r="J50" s="167">
        <v>127296</v>
      </c>
      <c r="K50" s="131"/>
      <c r="L50" s="131"/>
      <c r="M50" s="131">
        <v>108350</v>
      </c>
      <c r="N50" s="131"/>
      <c r="O50" s="131"/>
      <c r="P50" s="131">
        <v>10580</v>
      </c>
      <c r="Q50" s="131"/>
      <c r="R50" s="131"/>
      <c r="S50" s="131">
        <v>116225</v>
      </c>
      <c r="T50" s="131"/>
      <c r="U50" s="131"/>
      <c r="V50" s="131"/>
      <c r="W50" s="131"/>
      <c r="X50" s="131"/>
      <c r="Y50" s="131"/>
      <c r="Z50" s="131"/>
      <c r="AA50" s="131"/>
      <c r="AB50" s="131">
        <v>82144.600000000006</v>
      </c>
      <c r="AC50" s="131"/>
      <c r="AD50" s="131"/>
      <c r="AE50" s="131">
        <v>27732.48</v>
      </c>
      <c r="AF50" s="131"/>
      <c r="AG50" s="131"/>
      <c r="AH50" s="131"/>
      <c r="AI50" s="131"/>
      <c r="AJ50" s="131"/>
      <c r="AK50" s="131"/>
      <c r="AL50" s="131"/>
      <c r="AM50" s="131">
        <f t="shared" si="5"/>
        <v>0</v>
      </c>
      <c r="AN50" s="131">
        <f t="shared" si="6"/>
        <v>480972.07999999996</v>
      </c>
      <c r="AO50" s="131"/>
    </row>
    <row r="51" spans="1:43" x14ac:dyDescent="0.3">
      <c r="A51" s="69">
        <v>261</v>
      </c>
      <c r="B51" s="70" t="s">
        <v>85</v>
      </c>
      <c r="C51" s="131"/>
      <c r="D51" s="131"/>
      <c r="E51" s="131"/>
      <c r="F51" s="131"/>
      <c r="G51" s="156"/>
      <c r="H51" s="162"/>
      <c r="I51" s="131"/>
      <c r="J51" s="167">
        <f>16751.28+3540</f>
        <v>20291.28</v>
      </c>
      <c r="K51" s="131"/>
      <c r="L51" s="131"/>
      <c r="M51" s="131">
        <v>10800</v>
      </c>
      <c r="N51" s="131"/>
      <c r="O51" s="131"/>
      <c r="P51" s="131">
        <f>101321.02+244143.6+18744.98+17470+260500-53103.16</f>
        <v>589076.43999999994</v>
      </c>
      <c r="Q51" s="131"/>
      <c r="R51" s="131"/>
      <c r="S51" s="131"/>
      <c r="T51" s="131"/>
      <c r="U51" s="131"/>
      <c r="V51" s="131">
        <f>3125+22000+12375+12500+42800</f>
        <v>92800</v>
      </c>
      <c r="W51" s="131"/>
      <c r="X51" s="131"/>
      <c r="Y51" s="131">
        <f>19752+89962.91+760+1788</f>
        <v>112262.91</v>
      </c>
      <c r="Z51" s="131"/>
      <c r="AA51" s="131"/>
      <c r="AB51" s="131">
        <f>5250+28910+28674+63000</f>
        <v>125834</v>
      </c>
      <c r="AC51" s="131"/>
      <c r="AD51" s="131"/>
      <c r="AE51" s="131">
        <f>95759.25+310856.25+46771+45399.96</f>
        <v>498786.46</v>
      </c>
      <c r="AF51" s="131"/>
      <c r="AG51" s="131"/>
      <c r="AH51" s="131"/>
      <c r="AI51" s="131"/>
      <c r="AJ51" s="131"/>
      <c r="AK51" s="131"/>
      <c r="AL51" s="131"/>
      <c r="AM51" s="131">
        <f t="shared" si="5"/>
        <v>0</v>
      </c>
      <c r="AN51" s="131">
        <f t="shared" si="6"/>
        <v>1449851.09</v>
      </c>
      <c r="AO51" s="131"/>
    </row>
    <row r="52" spans="1:43" x14ac:dyDescent="0.3">
      <c r="A52" s="69">
        <v>2631</v>
      </c>
      <c r="B52" s="70" t="s">
        <v>83</v>
      </c>
      <c r="C52" s="131"/>
      <c r="D52" s="131"/>
      <c r="E52" s="131"/>
      <c r="F52" s="131"/>
      <c r="G52" s="131">
        <v>17186.46</v>
      </c>
      <c r="H52" s="162"/>
      <c r="I52" s="131"/>
      <c r="J52" s="167"/>
      <c r="K52" s="131"/>
      <c r="L52" s="131"/>
      <c r="M52" s="131"/>
      <c r="N52" s="131"/>
      <c r="O52" s="131"/>
      <c r="P52" s="131">
        <v>20660</v>
      </c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>
        <f>497222.7+27230.65+9683+9207</f>
        <v>543343.35</v>
      </c>
      <c r="AF52" s="131"/>
      <c r="AG52" s="131"/>
      <c r="AH52" s="131"/>
      <c r="AI52" s="131"/>
      <c r="AJ52" s="131"/>
      <c r="AK52" s="131"/>
      <c r="AL52" s="131"/>
      <c r="AM52" s="131">
        <f t="shared" si="5"/>
        <v>0</v>
      </c>
      <c r="AN52" s="131">
        <f t="shared" si="6"/>
        <v>581189.80999999994</v>
      </c>
      <c r="AO52" s="131"/>
    </row>
    <row r="53" spans="1:43" x14ac:dyDescent="0.3">
      <c r="A53" s="69">
        <v>2632.01</v>
      </c>
      <c r="B53" s="70" t="s">
        <v>84</v>
      </c>
      <c r="C53" s="131"/>
      <c r="D53" s="131"/>
      <c r="E53" s="131"/>
      <c r="F53" s="131"/>
      <c r="G53" s="131"/>
      <c r="H53" s="162"/>
      <c r="I53" s="131"/>
      <c r="J53" s="167"/>
      <c r="K53" s="131"/>
      <c r="L53" s="131"/>
      <c r="M53" s="131">
        <v>5758.4</v>
      </c>
      <c r="N53" s="131"/>
      <c r="O53" s="131"/>
      <c r="P53" s="131">
        <f>101483.2+17186.46</f>
        <v>118669.66</v>
      </c>
      <c r="Q53" s="131"/>
      <c r="R53" s="131"/>
      <c r="S53" s="131">
        <v>17186.46</v>
      </c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>
        <f t="shared" si="5"/>
        <v>0</v>
      </c>
      <c r="AN53" s="131">
        <f t="shared" si="6"/>
        <v>141614.51999999999</v>
      </c>
      <c r="AO53" s="131"/>
    </row>
    <row r="54" spans="1:43" x14ac:dyDescent="0.3">
      <c r="A54" s="69"/>
      <c r="B54" s="70" t="s">
        <v>159</v>
      </c>
      <c r="C54" s="137"/>
      <c r="D54" s="137"/>
      <c r="E54" s="137"/>
      <c r="F54" s="137"/>
      <c r="G54" s="137">
        <f>18000+64232+91313.16+546146.6</f>
        <v>719691.76</v>
      </c>
      <c r="H54" s="164"/>
      <c r="I54" s="137"/>
      <c r="J54" s="169">
        <v>412478.39</v>
      </c>
      <c r="K54" s="137"/>
      <c r="L54" s="137"/>
      <c r="M54" s="137">
        <v>253710.9</v>
      </c>
      <c r="N54" s="137"/>
      <c r="O54" s="137"/>
      <c r="P54" s="137">
        <f>12000+14400+40800+106495+55750+109613.16+1570+4853+79875+2464+23836+91313.16+18300</f>
        <v>561269.32000000007</v>
      </c>
      <c r="Q54" s="137"/>
      <c r="R54" s="137"/>
      <c r="S54" s="137">
        <v>519485.45999999996</v>
      </c>
      <c r="T54" s="137"/>
      <c r="U54" s="137"/>
      <c r="V54" s="137">
        <f>20050+62845+3670+264850+2750+165+41950+9695+65200+7050+7900+15800</f>
        <v>501925</v>
      </c>
      <c r="W54" s="137"/>
      <c r="X54" s="137"/>
      <c r="Y54" s="137">
        <v>451835.56</v>
      </c>
      <c r="Z54" s="137"/>
      <c r="AA54" s="137"/>
      <c r="AB54" s="137">
        <v>477877.15</v>
      </c>
      <c r="AC54" s="137"/>
      <c r="AD54" s="137">
        <f>18500+0</f>
        <v>18500</v>
      </c>
      <c r="AE54" s="137">
        <f>230802.05+17900+120000+690+56498.4+2030+44.25+36896.69-8096.49</f>
        <v>456764.9</v>
      </c>
      <c r="AF54" s="137"/>
      <c r="AG54" s="137"/>
      <c r="AH54" s="137"/>
      <c r="AI54" s="137"/>
      <c r="AJ54" s="137"/>
      <c r="AK54" s="137"/>
      <c r="AL54" s="137"/>
      <c r="AM54" s="131">
        <f t="shared" si="5"/>
        <v>18500</v>
      </c>
      <c r="AN54" s="131">
        <f t="shared" si="6"/>
        <v>4355038.4400000004</v>
      </c>
      <c r="AO54" s="131"/>
    </row>
    <row r="55" spans="1:43" x14ac:dyDescent="0.3">
      <c r="A55" s="72"/>
      <c r="B55" s="73" t="s">
        <v>27</v>
      </c>
      <c r="C55" s="144">
        <f>SUM(C16:C54)</f>
        <v>0</v>
      </c>
      <c r="D55" s="144">
        <f>SUM(D16:D54)</f>
        <v>417979.51</v>
      </c>
      <c r="E55" s="144">
        <f t="shared" ref="E55" si="7">SUM(E16:E54)</f>
        <v>0</v>
      </c>
      <c r="F55" s="144">
        <f>SUM(F16:F54)</f>
        <v>0</v>
      </c>
      <c r="G55" s="144">
        <f>SUM(G16:G54)</f>
        <v>4609084</v>
      </c>
      <c r="H55" s="165"/>
      <c r="I55" s="144">
        <f>SUM(I16:I54)</f>
        <v>0</v>
      </c>
      <c r="J55" s="170">
        <f>SUM(J16:J54)</f>
        <v>3973073.1799999997</v>
      </c>
      <c r="K55" s="170">
        <f t="shared" ref="K55:L55" si="8">SUM(K16:K54)</f>
        <v>0</v>
      </c>
      <c r="L55" s="170">
        <f t="shared" si="8"/>
        <v>2996766.12</v>
      </c>
      <c r="M55" s="145">
        <f>SUM(M16:M54)</f>
        <v>5882903.5000000009</v>
      </c>
      <c r="N55" s="145"/>
      <c r="O55" s="145">
        <v>1499712.6500000001</v>
      </c>
      <c r="P55" s="145">
        <f>SUM(P16:P54)</f>
        <v>5760702.0300000012</v>
      </c>
      <c r="Q55" s="145"/>
      <c r="R55" s="145">
        <f>SUM(R16:R54)</f>
        <v>2997236.97</v>
      </c>
      <c r="S55" s="145">
        <f>SUM(S16:S54)</f>
        <v>5134591.41</v>
      </c>
      <c r="T55" s="145"/>
      <c r="U55" s="147">
        <f>SUM(U16:U54)</f>
        <v>1499362.4500000002</v>
      </c>
      <c r="V55" s="147">
        <f>SUM(V16:V54)</f>
        <v>3424764.8400000003</v>
      </c>
      <c r="W55" s="147">
        <f t="shared" ref="W55:X55" si="9">SUM(W16:W54)</f>
        <v>0</v>
      </c>
      <c r="X55" s="147">
        <f t="shared" si="9"/>
        <v>1498319.1199999999</v>
      </c>
      <c r="Y55" s="147">
        <f>SUM(Y16:Y54)</f>
        <v>4746016.0399999991</v>
      </c>
      <c r="Z55" s="147"/>
      <c r="AA55" s="147">
        <f t="shared" ref="AA55:AF55" si="10">SUM(AA16:AA54)</f>
        <v>1499752.46</v>
      </c>
      <c r="AB55" s="147">
        <f t="shared" si="10"/>
        <v>8679148.1400000006</v>
      </c>
      <c r="AC55" s="147">
        <f t="shared" si="10"/>
        <v>0</v>
      </c>
      <c r="AD55" s="147">
        <f t="shared" si="10"/>
        <v>1498719.28</v>
      </c>
      <c r="AE55" s="147">
        <f>SUM(AE16:AE54)</f>
        <v>5262937.9400000004</v>
      </c>
      <c r="AF55" s="147">
        <f t="shared" si="10"/>
        <v>0</v>
      </c>
      <c r="AG55" s="147">
        <f>SUM(AG16:AG54)</f>
        <v>0</v>
      </c>
      <c r="AH55" s="147">
        <f>SUM(AH16:AH54)</f>
        <v>0</v>
      </c>
      <c r="AI55" s="147">
        <f t="shared" ref="AI55:AL55" si="11">SUM(AI16:AI54)</f>
        <v>0</v>
      </c>
      <c r="AJ55" s="147">
        <f t="shared" si="11"/>
        <v>0</v>
      </c>
      <c r="AK55" s="147">
        <f t="shared" si="11"/>
        <v>0</v>
      </c>
      <c r="AL55" s="147">
        <f t="shared" si="11"/>
        <v>0</v>
      </c>
      <c r="AM55" s="148">
        <f>SUM(AM16:AM54)</f>
        <v>13489838.539999999</v>
      </c>
      <c r="AN55" s="148">
        <f>SUM(AN16:AN54)</f>
        <v>47891200.590000011</v>
      </c>
      <c r="AO55" s="148"/>
    </row>
    <row r="56" spans="1:43" x14ac:dyDescent="0.3">
      <c r="I56" s="133"/>
      <c r="AE56" s="133" t="s">
        <v>30</v>
      </c>
    </row>
    <row r="57" spans="1:43" x14ac:dyDescent="0.3">
      <c r="C57" s="135"/>
      <c r="D57" s="134"/>
      <c r="I57" s="3"/>
      <c r="P57" s="133"/>
      <c r="AB57" s="133"/>
      <c r="AC57" s="133"/>
      <c r="AE57" s="133"/>
      <c r="AG57" s="133"/>
      <c r="AH57" s="133"/>
      <c r="AN57" s="149"/>
      <c r="AO57" s="150"/>
    </row>
    <row r="58" spans="1:43" x14ac:dyDescent="0.3">
      <c r="I58" s="3"/>
      <c r="R58" s="134"/>
      <c r="Y58" s="142"/>
    </row>
    <row r="59" spans="1:43" x14ac:dyDescent="0.3">
      <c r="I59" s="3"/>
      <c r="P59" s="133"/>
      <c r="R59" s="146"/>
    </row>
    <row r="60" spans="1:43" x14ac:dyDescent="0.3">
      <c r="I60" s="3"/>
      <c r="R60" s="134"/>
    </row>
    <row r="61" spans="1:43" x14ac:dyDescent="0.3">
      <c r="I61" s="3"/>
    </row>
    <row r="62" spans="1:43" x14ac:dyDescent="0.3">
      <c r="I62" s="3"/>
    </row>
    <row r="63" spans="1:43" x14ac:dyDescent="0.3">
      <c r="I63" s="3"/>
    </row>
    <row r="64" spans="1:43" x14ac:dyDescent="0.3">
      <c r="I64" s="3"/>
    </row>
    <row r="65" spans="9:9" x14ac:dyDescent="0.3">
      <c r="I65" s="3"/>
    </row>
    <row r="66" spans="9:9" x14ac:dyDescent="0.3">
      <c r="I66" s="3"/>
    </row>
    <row r="67" spans="9:9" x14ac:dyDescent="0.3">
      <c r="I67" s="3"/>
    </row>
    <row r="68" spans="9:9" x14ac:dyDescent="0.3">
      <c r="I68" s="3"/>
    </row>
    <row r="69" spans="9:9" x14ac:dyDescent="0.3">
      <c r="I69" s="3"/>
    </row>
    <row r="70" spans="9:9" x14ac:dyDescent="0.3">
      <c r="I70" s="3"/>
    </row>
    <row r="71" spans="9:9" x14ac:dyDescent="0.3">
      <c r="I71" s="3"/>
    </row>
    <row r="72" spans="9:9" x14ac:dyDescent="0.3">
      <c r="I72" s="3"/>
    </row>
    <row r="73" spans="9:9" x14ac:dyDescent="0.3">
      <c r="I73" s="3"/>
    </row>
    <row r="74" spans="9:9" x14ac:dyDescent="0.3">
      <c r="I74" s="3"/>
    </row>
    <row r="75" spans="9:9" x14ac:dyDescent="0.3">
      <c r="I75" s="3"/>
    </row>
    <row r="76" spans="9:9" x14ac:dyDescent="0.3">
      <c r="I76" s="3"/>
    </row>
    <row r="77" spans="9:9" x14ac:dyDescent="0.3">
      <c r="I77" s="3"/>
    </row>
    <row r="78" spans="9:9" x14ac:dyDescent="0.3">
      <c r="I78" s="3"/>
    </row>
    <row r="79" spans="9:9" x14ac:dyDescent="0.3">
      <c r="I79" s="3"/>
    </row>
    <row r="80" spans="9:9" x14ac:dyDescent="0.3">
      <c r="I80" s="3"/>
    </row>
    <row r="81" spans="9:9" x14ac:dyDescent="0.3">
      <c r="I81" s="3"/>
    </row>
    <row r="82" spans="9:9" x14ac:dyDescent="0.3">
      <c r="I82" s="3"/>
    </row>
    <row r="83" spans="9:9" x14ac:dyDescent="0.3">
      <c r="I83" s="3"/>
    </row>
    <row r="84" spans="9:9" x14ac:dyDescent="0.3">
      <c r="I84" s="3"/>
    </row>
    <row r="85" spans="9:9" x14ac:dyDescent="0.3">
      <c r="I85" s="3"/>
    </row>
    <row r="86" spans="9:9" x14ac:dyDescent="0.3">
      <c r="I86" s="3"/>
    </row>
    <row r="87" spans="9:9" x14ac:dyDescent="0.3">
      <c r="I87" s="3"/>
    </row>
    <row r="88" spans="9:9" x14ac:dyDescent="0.3">
      <c r="I88" s="3"/>
    </row>
    <row r="89" spans="9:9" x14ac:dyDescent="0.3">
      <c r="I89" s="3"/>
    </row>
    <row r="90" spans="9:9" x14ac:dyDescent="0.3">
      <c r="I90" s="3"/>
    </row>
    <row r="91" spans="9:9" x14ac:dyDescent="0.3">
      <c r="I91" s="3"/>
    </row>
    <row r="92" spans="9:9" x14ac:dyDescent="0.3">
      <c r="I92" s="3"/>
    </row>
    <row r="93" spans="9:9" x14ac:dyDescent="0.3">
      <c r="I93" s="3"/>
    </row>
    <row r="94" spans="9:9" x14ac:dyDescent="0.3">
      <c r="I94" s="3"/>
    </row>
    <row r="95" spans="9:9" x14ac:dyDescent="0.3">
      <c r="I95" s="3"/>
    </row>
    <row r="96" spans="9:9" x14ac:dyDescent="0.3">
      <c r="I96" s="3"/>
    </row>
    <row r="97" spans="9:9" x14ac:dyDescent="0.3">
      <c r="I97" s="3"/>
    </row>
    <row r="98" spans="9:9" x14ac:dyDescent="0.3">
      <c r="I98" s="3"/>
    </row>
    <row r="99" spans="9:9" x14ac:dyDescent="0.3">
      <c r="I99" s="3"/>
    </row>
    <row r="100" spans="9:9" x14ac:dyDescent="0.3">
      <c r="I100" s="3"/>
    </row>
    <row r="101" spans="9:9" x14ac:dyDescent="0.3">
      <c r="I101" s="3"/>
    </row>
    <row r="102" spans="9:9" x14ac:dyDescent="0.3">
      <c r="I102" s="3"/>
    </row>
    <row r="103" spans="9:9" x14ac:dyDescent="0.3">
      <c r="I103" s="3"/>
    </row>
    <row r="104" spans="9:9" x14ac:dyDescent="0.3">
      <c r="I104" s="3"/>
    </row>
    <row r="105" spans="9:9" x14ac:dyDescent="0.3">
      <c r="I105" s="3"/>
    </row>
    <row r="106" spans="9:9" x14ac:dyDescent="0.3">
      <c r="I106" s="3"/>
    </row>
    <row r="107" spans="9:9" x14ac:dyDescent="0.3">
      <c r="I107" s="3"/>
    </row>
    <row r="108" spans="9:9" x14ac:dyDescent="0.3">
      <c r="I108" s="3"/>
    </row>
    <row r="109" spans="9:9" x14ac:dyDescent="0.3">
      <c r="I109" s="3"/>
    </row>
    <row r="110" spans="9:9" x14ac:dyDescent="0.3">
      <c r="I110" s="3"/>
    </row>
    <row r="111" spans="9:9" x14ac:dyDescent="0.3">
      <c r="I111" s="3"/>
    </row>
    <row r="112" spans="9:9" x14ac:dyDescent="0.3">
      <c r="I112" s="3"/>
    </row>
    <row r="113" spans="9:9" x14ac:dyDescent="0.3">
      <c r="I113" s="3"/>
    </row>
    <row r="114" spans="9:9" x14ac:dyDescent="0.3">
      <c r="I114" s="3"/>
    </row>
    <row r="115" spans="9:9" x14ac:dyDescent="0.3">
      <c r="I115" s="3"/>
    </row>
    <row r="116" spans="9:9" x14ac:dyDescent="0.3">
      <c r="I116" s="3"/>
    </row>
    <row r="117" spans="9:9" x14ac:dyDescent="0.3">
      <c r="I117" s="3"/>
    </row>
    <row r="118" spans="9:9" x14ac:dyDescent="0.3">
      <c r="I118" s="3"/>
    </row>
    <row r="119" spans="9:9" x14ac:dyDescent="0.3">
      <c r="I119" s="3"/>
    </row>
    <row r="120" spans="9:9" x14ac:dyDescent="0.3">
      <c r="I120" s="3"/>
    </row>
    <row r="121" spans="9:9" x14ac:dyDescent="0.3">
      <c r="I121" s="3"/>
    </row>
    <row r="122" spans="9:9" x14ac:dyDescent="0.3">
      <c r="I122" s="3"/>
    </row>
    <row r="123" spans="9:9" x14ac:dyDescent="0.3">
      <c r="I123" s="3"/>
    </row>
    <row r="124" spans="9:9" x14ac:dyDescent="0.3">
      <c r="I124" s="3"/>
    </row>
    <row r="125" spans="9:9" x14ac:dyDescent="0.3">
      <c r="I125" s="3"/>
    </row>
    <row r="126" spans="9:9" x14ac:dyDescent="0.3">
      <c r="I126" s="3"/>
    </row>
    <row r="127" spans="9:9" x14ac:dyDescent="0.3">
      <c r="I127" s="3"/>
    </row>
    <row r="128" spans="9:9" x14ac:dyDescent="0.3">
      <c r="I128" s="3"/>
    </row>
    <row r="129" spans="9:9" x14ac:dyDescent="0.3">
      <c r="I129" s="3"/>
    </row>
    <row r="130" spans="9:9" x14ac:dyDescent="0.3">
      <c r="I130" s="3"/>
    </row>
    <row r="131" spans="9:9" x14ac:dyDescent="0.3">
      <c r="I131" s="3"/>
    </row>
    <row r="132" spans="9:9" x14ac:dyDescent="0.3">
      <c r="I132" s="3"/>
    </row>
    <row r="133" spans="9:9" x14ac:dyDescent="0.3">
      <c r="I133" s="3"/>
    </row>
    <row r="134" spans="9:9" x14ac:dyDescent="0.3">
      <c r="I134" s="3"/>
    </row>
    <row r="135" spans="9:9" x14ac:dyDescent="0.3">
      <c r="I135" s="3"/>
    </row>
    <row r="136" spans="9:9" x14ac:dyDescent="0.3">
      <c r="I136" s="3"/>
    </row>
    <row r="137" spans="9:9" x14ac:dyDescent="0.3">
      <c r="I137" s="3"/>
    </row>
    <row r="138" spans="9:9" x14ac:dyDescent="0.3">
      <c r="I138" s="3"/>
    </row>
    <row r="139" spans="9:9" x14ac:dyDescent="0.3">
      <c r="I139" s="3"/>
    </row>
    <row r="140" spans="9:9" x14ac:dyDescent="0.3">
      <c r="I140" s="3"/>
    </row>
    <row r="141" spans="9:9" x14ac:dyDescent="0.3">
      <c r="I141" s="3"/>
    </row>
    <row r="142" spans="9:9" x14ac:dyDescent="0.3">
      <c r="I142" s="3"/>
    </row>
    <row r="143" spans="9:9" x14ac:dyDescent="0.3">
      <c r="I143" s="3"/>
    </row>
    <row r="144" spans="9:9" x14ac:dyDescent="0.3">
      <c r="I144" s="3"/>
    </row>
    <row r="145" spans="9:9" x14ac:dyDescent="0.3">
      <c r="I145" s="3"/>
    </row>
    <row r="146" spans="9:9" x14ac:dyDescent="0.3">
      <c r="I146" s="3"/>
    </row>
    <row r="147" spans="9:9" x14ac:dyDescent="0.3">
      <c r="I147" s="3"/>
    </row>
    <row r="148" spans="9:9" x14ac:dyDescent="0.3">
      <c r="I148" s="3"/>
    </row>
    <row r="149" spans="9:9" x14ac:dyDescent="0.3">
      <c r="I149" s="3"/>
    </row>
    <row r="150" spans="9:9" x14ac:dyDescent="0.3">
      <c r="I150" s="3"/>
    </row>
    <row r="151" spans="9:9" x14ac:dyDescent="0.3">
      <c r="I151" s="3"/>
    </row>
    <row r="152" spans="9:9" x14ac:dyDescent="0.3">
      <c r="I152" s="3"/>
    </row>
    <row r="153" spans="9:9" x14ac:dyDescent="0.3">
      <c r="I153" s="3"/>
    </row>
    <row r="154" spans="9:9" x14ac:dyDescent="0.3">
      <c r="I154" s="3"/>
    </row>
    <row r="155" spans="9:9" x14ac:dyDescent="0.3">
      <c r="I155" s="3"/>
    </row>
    <row r="156" spans="9:9" x14ac:dyDescent="0.3">
      <c r="I156" s="3"/>
    </row>
    <row r="157" spans="9:9" x14ac:dyDescent="0.3">
      <c r="I157" s="3"/>
    </row>
    <row r="158" spans="9:9" x14ac:dyDescent="0.3">
      <c r="I158" s="3"/>
    </row>
    <row r="159" spans="9:9" x14ac:dyDescent="0.3">
      <c r="I159" s="3"/>
    </row>
    <row r="160" spans="9:9" x14ac:dyDescent="0.3">
      <c r="I160" s="3"/>
    </row>
    <row r="161" spans="9:9" x14ac:dyDescent="0.3">
      <c r="I161" s="3"/>
    </row>
    <row r="162" spans="9:9" x14ac:dyDescent="0.3">
      <c r="I162" s="3"/>
    </row>
    <row r="163" spans="9:9" x14ac:dyDescent="0.3">
      <c r="I163" s="3"/>
    </row>
    <row r="164" spans="9:9" x14ac:dyDescent="0.3">
      <c r="I164" s="3"/>
    </row>
    <row r="165" spans="9:9" x14ac:dyDescent="0.3">
      <c r="I165" s="3"/>
    </row>
    <row r="166" spans="9:9" x14ac:dyDescent="0.3">
      <c r="I166" s="3"/>
    </row>
    <row r="167" spans="9:9" x14ac:dyDescent="0.3">
      <c r="I167" s="3"/>
    </row>
    <row r="168" spans="9:9" x14ac:dyDescent="0.3">
      <c r="I168" s="3"/>
    </row>
    <row r="169" spans="9:9" x14ac:dyDescent="0.3">
      <c r="I169" s="3"/>
    </row>
    <row r="170" spans="9:9" x14ac:dyDescent="0.3">
      <c r="I170" s="3"/>
    </row>
    <row r="171" spans="9:9" x14ac:dyDescent="0.3">
      <c r="I171" s="3"/>
    </row>
    <row r="172" spans="9:9" x14ac:dyDescent="0.3">
      <c r="I172" s="3"/>
    </row>
    <row r="173" spans="9:9" x14ac:dyDescent="0.3">
      <c r="I173" s="3"/>
    </row>
    <row r="174" spans="9:9" x14ac:dyDescent="0.3">
      <c r="I174" s="3"/>
    </row>
    <row r="175" spans="9:9" x14ac:dyDescent="0.3">
      <c r="I175" s="3"/>
    </row>
    <row r="176" spans="9:9" x14ac:dyDescent="0.3">
      <c r="I176" s="3"/>
    </row>
    <row r="177" spans="9:9" x14ac:dyDescent="0.3">
      <c r="I177" s="3"/>
    </row>
    <row r="178" spans="9:9" x14ac:dyDescent="0.3">
      <c r="I178" s="3"/>
    </row>
    <row r="179" spans="9:9" x14ac:dyDescent="0.3">
      <c r="I179" s="3"/>
    </row>
    <row r="180" spans="9:9" x14ac:dyDescent="0.3">
      <c r="I180" s="3"/>
    </row>
    <row r="181" spans="9:9" x14ac:dyDescent="0.3">
      <c r="I181" s="3"/>
    </row>
    <row r="182" spans="9:9" x14ac:dyDescent="0.3">
      <c r="I182" s="3"/>
    </row>
    <row r="183" spans="9:9" x14ac:dyDescent="0.3">
      <c r="I183" s="3"/>
    </row>
    <row r="184" spans="9:9" x14ac:dyDescent="0.3">
      <c r="I184" s="3"/>
    </row>
    <row r="185" spans="9:9" x14ac:dyDescent="0.3">
      <c r="I185" s="3"/>
    </row>
    <row r="186" spans="9:9" x14ac:dyDescent="0.3">
      <c r="I186" s="3"/>
    </row>
    <row r="187" spans="9:9" x14ac:dyDescent="0.3">
      <c r="I187" s="3"/>
    </row>
    <row r="188" spans="9:9" x14ac:dyDescent="0.3">
      <c r="I188" s="3"/>
    </row>
    <row r="189" spans="9:9" x14ac:dyDescent="0.3">
      <c r="I189" s="3"/>
    </row>
    <row r="190" spans="9:9" x14ac:dyDescent="0.3">
      <c r="I190" s="3"/>
    </row>
    <row r="191" spans="9:9" x14ac:dyDescent="0.3">
      <c r="I191" s="3"/>
    </row>
    <row r="192" spans="9:9" x14ac:dyDescent="0.3">
      <c r="I192" s="3"/>
    </row>
    <row r="193" spans="9:9" x14ac:dyDescent="0.3">
      <c r="I193" s="3"/>
    </row>
    <row r="194" spans="9:9" x14ac:dyDescent="0.3">
      <c r="I194" s="3"/>
    </row>
    <row r="195" spans="9:9" x14ac:dyDescent="0.3">
      <c r="I195" s="3"/>
    </row>
    <row r="196" spans="9:9" x14ac:dyDescent="0.3">
      <c r="I196" s="3"/>
    </row>
    <row r="197" spans="9:9" x14ac:dyDescent="0.3">
      <c r="I197" s="3"/>
    </row>
    <row r="198" spans="9:9" x14ac:dyDescent="0.3">
      <c r="I198" s="3"/>
    </row>
    <row r="199" spans="9:9" x14ac:dyDescent="0.3">
      <c r="I199" s="3"/>
    </row>
    <row r="200" spans="9:9" x14ac:dyDescent="0.3">
      <c r="I200" s="3"/>
    </row>
    <row r="201" spans="9:9" x14ac:dyDescent="0.3">
      <c r="I201" s="3"/>
    </row>
    <row r="202" spans="9:9" x14ac:dyDescent="0.3">
      <c r="I202" s="3"/>
    </row>
    <row r="203" spans="9:9" x14ac:dyDescent="0.3">
      <c r="I203" s="3"/>
    </row>
    <row r="204" spans="9:9" x14ac:dyDescent="0.3">
      <c r="I204" s="3"/>
    </row>
    <row r="205" spans="9:9" x14ac:dyDescent="0.3">
      <c r="I205" s="3"/>
    </row>
    <row r="206" spans="9:9" x14ac:dyDescent="0.3">
      <c r="I206" s="3"/>
    </row>
    <row r="207" spans="9:9" x14ac:dyDescent="0.3">
      <c r="I207" s="3"/>
    </row>
    <row r="208" spans="9:9" x14ac:dyDescent="0.3">
      <c r="I208" s="3"/>
    </row>
    <row r="209" spans="9:9" x14ac:dyDescent="0.3">
      <c r="I209" s="3"/>
    </row>
    <row r="210" spans="9:9" x14ac:dyDescent="0.3">
      <c r="I210" s="3"/>
    </row>
    <row r="211" spans="9:9" x14ac:dyDescent="0.3">
      <c r="I211" s="3"/>
    </row>
    <row r="212" spans="9:9" x14ac:dyDescent="0.3">
      <c r="I212" s="3"/>
    </row>
    <row r="213" spans="9:9" x14ac:dyDescent="0.3">
      <c r="I213" s="3"/>
    </row>
    <row r="214" spans="9:9" x14ac:dyDescent="0.3">
      <c r="I214" s="3"/>
    </row>
    <row r="215" spans="9:9" x14ac:dyDescent="0.3">
      <c r="I215" s="3"/>
    </row>
    <row r="216" spans="9:9" x14ac:dyDescent="0.3">
      <c r="I216" s="3"/>
    </row>
    <row r="217" spans="9:9" x14ac:dyDescent="0.3">
      <c r="I217" s="3"/>
    </row>
    <row r="218" spans="9:9" x14ac:dyDescent="0.3">
      <c r="I218" s="3"/>
    </row>
    <row r="219" spans="9:9" x14ac:dyDescent="0.3">
      <c r="I219" s="3"/>
    </row>
    <row r="220" spans="9:9" x14ac:dyDescent="0.3">
      <c r="I220" s="3"/>
    </row>
    <row r="221" spans="9:9" x14ac:dyDescent="0.3">
      <c r="I221" s="3"/>
    </row>
    <row r="222" spans="9:9" x14ac:dyDescent="0.3">
      <c r="I222" s="3"/>
    </row>
    <row r="223" spans="9:9" x14ac:dyDescent="0.3">
      <c r="I223" s="3"/>
    </row>
    <row r="224" spans="9:9" x14ac:dyDescent="0.3">
      <c r="I224" s="3"/>
    </row>
    <row r="225" spans="9:9" x14ac:dyDescent="0.3">
      <c r="I225" s="3"/>
    </row>
    <row r="226" spans="9:9" x14ac:dyDescent="0.3">
      <c r="I226" s="3"/>
    </row>
    <row r="227" spans="9:9" x14ac:dyDescent="0.3">
      <c r="I227" s="3"/>
    </row>
    <row r="228" spans="9:9" x14ac:dyDescent="0.3">
      <c r="I228" s="3"/>
    </row>
    <row r="229" spans="9:9" x14ac:dyDescent="0.3">
      <c r="I229" s="3"/>
    </row>
    <row r="230" spans="9:9" x14ac:dyDescent="0.3">
      <c r="I230" s="3"/>
    </row>
    <row r="231" spans="9:9" x14ac:dyDescent="0.3">
      <c r="I231" s="3"/>
    </row>
    <row r="232" spans="9:9" x14ac:dyDescent="0.3">
      <c r="I232" s="3"/>
    </row>
    <row r="233" spans="9:9" x14ac:dyDescent="0.3">
      <c r="I233" s="3"/>
    </row>
    <row r="234" spans="9:9" x14ac:dyDescent="0.3">
      <c r="I234" s="3"/>
    </row>
    <row r="235" spans="9:9" x14ac:dyDescent="0.3">
      <c r="I235" s="3"/>
    </row>
    <row r="236" spans="9:9" x14ac:dyDescent="0.3">
      <c r="I236" s="3"/>
    </row>
    <row r="237" spans="9:9" x14ac:dyDescent="0.3">
      <c r="I237" s="3"/>
    </row>
    <row r="238" spans="9:9" x14ac:dyDescent="0.3">
      <c r="I238" s="3"/>
    </row>
    <row r="239" spans="9:9" x14ac:dyDescent="0.3">
      <c r="I239" s="3"/>
    </row>
    <row r="240" spans="9:9" x14ac:dyDescent="0.3">
      <c r="I240" s="3"/>
    </row>
    <row r="241" spans="9:9" x14ac:dyDescent="0.3">
      <c r="I241" s="3"/>
    </row>
    <row r="242" spans="9:9" x14ac:dyDescent="0.3">
      <c r="I242" s="3"/>
    </row>
    <row r="243" spans="9:9" x14ac:dyDescent="0.3">
      <c r="I243" s="3"/>
    </row>
    <row r="244" spans="9:9" x14ac:dyDescent="0.3">
      <c r="I244" s="3"/>
    </row>
    <row r="245" spans="9:9" x14ac:dyDescent="0.3">
      <c r="I245" s="3"/>
    </row>
    <row r="246" spans="9:9" x14ac:dyDescent="0.3">
      <c r="I246" s="3"/>
    </row>
    <row r="247" spans="9:9" x14ac:dyDescent="0.3">
      <c r="I247" s="3"/>
    </row>
    <row r="248" spans="9:9" x14ac:dyDescent="0.3">
      <c r="I248" s="3"/>
    </row>
    <row r="249" spans="9:9" x14ac:dyDescent="0.3">
      <c r="I249" s="3"/>
    </row>
    <row r="250" spans="9:9" x14ac:dyDescent="0.3">
      <c r="I250" s="3"/>
    </row>
    <row r="251" spans="9:9" x14ac:dyDescent="0.3">
      <c r="I251" s="3"/>
    </row>
    <row r="252" spans="9:9" x14ac:dyDescent="0.3">
      <c r="I252" s="3"/>
    </row>
    <row r="253" spans="9:9" x14ac:dyDescent="0.3">
      <c r="I253" s="3"/>
    </row>
    <row r="254" spans="9:9" x14ac:dyDescent="0.3">
      <c r="I254" s="3"/>
    </row>
    <row r="255" spans="9:9" x14ac:dyDescent="0.3">
      <c r="I255" s="3"/>
    </row>
    <row r="256" spans="9:9" x14ac:dyDescent="0.3">
      <c r="I256" s="3"/>
    </row>
    <row r="257" spans="9:9" x14ac:dyDescent="0.3">
      <c r="I257" s="3"/>
    </row>
    <row r="258" spans="9:9" x14ac:dyDescent="0.3">
      <c r="I258" s="3"/>
    </row>
    <row r="259" spans="9:9" x14ac:dyDescent="0.3">
      <c r="I259" s="3"/>
    </row>
    <row r="260" spans="9:9" x14ac:dyDescent="0.3">
      <c r="I260" s="3"/>
    </row>
    <row r="261" spans="9:9" x14ac:dyDescent="0.3">
      <c r="I261" s="3"/>
    </row>
    <row r="262" spans="9:9" x14ac:dyDescent="0.3">
      <c r="I262" s="3"/>
    </row>
    <row r="263" spans="9:9" x14ac:dyDescent="0.3">
      <c r="I263" s="3"/>
    </row>
    <row r="264" spans="9:9" x14ac:dyDescent="0.3">
      <c r="I264" s="3"/>
    </row>
    <row r="265" spans="9:9" x14ac:dyDescent="0.3">
      <c r="I265" s="3"/>
    </row>
    <row r="266" spans="9:9" x14ac:dyDescent="0.3">
      <c r="I266" s="3"/>
    </row>
    <row r="267" spans="9:9" x14ac:dyDescent="0.3">
      <c r="I267" s="3"/>
    </row>
    <row r="268" spans="9:9" x14ac:dyDescent="0.3">
      <c r="I268" s="3"/>
    </row>
    <row r="269" spans="9:9" x14ac:dyDescent="0.3">
      <c r="I269" s="3"/>
    </row>
    <row r="270" spans="9:9" x14ac:dyDescent="0.3">
      <c r="I270" s="3"/>
    </row>
    <row r="271" spans="9:9" x14ac:dyDescent="0.3">
      <c r="I271" s="3"/>
    </row>
    <row r="272" spans="9:9" x14ac:dyDescent="0.3">
      <c r="I272" s="3"/>
    </row>
    <row r="273" spans="9:9" x14ac:dyDescent="0.3">
      <c r="I273" s="3"/>
    </row>
    <row r="274" spans="9:9" x14ac:dyDescent="0.3">
      <c r="I274" s="3"/>
    </row>
    <row r="275" spans="9:9" x14ac:dyDescent="0.3">
      <c r="I275" s="3"/>
    </row>
    <row r="276" spans="9:9" x14ac:dyDescent="0.3">
      <c r="I276" s="3"/>
    </row>
    <row r="277" spans="9:9" x14ac:dyDescent="0.3">
      <c r="I277" s="3"/>
    </row>
    <row r="278" spans="9:9" x14ac:dyDescent="0.3">
      <c r="I278" s="3"/>
    </row>
    <row r="279" spans="9:9" x14ac:dyDescent="0.3">
      <c r="I279" s="3"/>
    </row>
    <row r="280" spans="9:9" x14ac:dyDescent="0.3">
      <c r="I280" s="3"/>
    </row>
    <row r="281" spans="9:9" x14ac:dyDescent="0.3">
      <c r="I281" s="3"/>
    </row>
    <row r="282" spans="9:9" x14ac:dyDescent="0.3">
      <c r="I282" s="3"/>
    </row>
    <row r="283" spans="9:9" x14ac:dyDescent="0.3">
      <c r="I283" s="3"/>
    </row>
    <row r="284" spans="9:9" x14ac:dyDescent="0.3">
      <c r="I284" s="3"/>
    </row>
    <row r="285" spans="9:9" x14ac:dyDescent="0.3">
      <c r="I285" s="3"/>
    </row>
    <row r="286" spans="9:9" x14ac:dyDescent="0.3">
      <c r="I286" s="3"/>
    </row>
    <row r="287" spans="9:9" x14ac:dyDescent="0.3">
      <c r="I287" s="3"/>
    </row>
    <row r="288" spans="9:9" x14ac:dyDescent="0.3">
      <c r="I288" s="3"/>
    </row>
    <row r="289" spans="9:9" x14ac:dyDescent="0.3">
      <c r="I289" s="3"/>
    </row>
    <row r="290" spans="9:9" x14ac:dyDescent="0.3">
      <c r="I290" s="3"/>
    </row>
    <row r="291" spans="9:9" x14ac:dyDescent="0.3">
      <c r="I291" s="3"/>
    </row>
    <row r="292" spans="9:9" x14ac:dyDescent="0.3">
      <c r="I292" s="3"/>
    </row>
    <row r="293" spans="9:9" x14ac:dyDescent="0.3">
      <c r="I293" s="3"/>
    </row>
    <row r="294" spans="9:9" x14ac:dyDescent="0.3">
      <c r="I294" s="3"/>
    </row>
    <row r="295" spans="9:9" x14ac:dyDescent="0.3">
      <c r="I295" s="3"/>
    </row>
    <row r="296" spans="9:9" x14ac:dyDescent="0.3">
      <c r="I296" s="3"/>
    </row>
    <row r="297" spans="9:9" x14ac:dyDescent="0.3">
      <c r="I297" s="3"/>
    </row>
    <row r="298" spans="9:9" x14ac:dyDescent="0.3">
      <c r="I298" s="3"/>
    </row>
    <row r="299" spans="9:9" x14ac:dyDescent="0.3">
      <c r="I299" s="3"/>
    </row>
    <row r="300" spans="9:9" x14ac:dyDescent="0.3">
      <c r="I300" s="3"/>
    </row>
    <row r="301" spans="9:9" x14ac:dyDescent="0.3">
      <c r="I301" s="3"/>
    </row>
    <row r="302" spans="9:9" x14ac:dyDescent="0.3">
      <c r="I302" s="3"/>
    </row>
    <row r="303" spans="9:9" x14ac:dyDescent="0.3">
      <c r="I303" s="3"/>
    </row>
    <row r="304" spans="9:9" x14ac:dyDescent="0.3">
      <c r="I304" s="3"/>
    </row>
    <row r="305" spans="9:9" x14ac:dyDescent="0.3">
      <c r="I305" s="3"/>
    </row>
    <row r="306" spans="9:9" x14ac:dyDescent="0.3">
      <c r="I306" s="3"/>
    </row>
    <row r="307" spans="9:9" x14ac:dyDescent="0.3">
      <c r="I307" s="3"/>
    </row>
    <row r="308" spans="9:9" x14ac:dyDescent="0.3">
      <c r="I308" s="3"/>
    </row>
    <row r="309" spans="9:9" x14ac:dyDescent="0.3">
      <c r="I309" s="3"/>
    </row>
    <row r="310" spans="9:9" x14ac:dyDescent="0.3">
      <c r="I310" s="3"/>
    </row>
    <row r="311" spans="9:9" x14ac:dyDescent="0.3">
      <c r="I311" s="3"/>
    </row>
    <row r="312" spans="9:9" x14ac:dyDescent="0.3">
      <c r="I312" s="3"/>
    </row>
    <row r="313" spans="9:9" x14ac:dyDescent="0.3">
      <c r="I313" s="3"/>
    </row>
    <row r="314" spans="9:9" x14ac:dyDescent="0.3">
      <c r="I314" s="3"/>
    </row>
    <row r="315" spans="9:9" x14ac:dyDescent="0.3">
      <c r="I315" s="3"/>
    </row>
    <row r="316" spans="9:9" x14ac:dyDescent="0.3">
      <c r="I316" s="3"/>
    </row>
    <row r="317" spans="9:9" x14ac:dyDescent="0.3">
      <c r="I317" s="3"/>
    </row>
    <row r="318" spans="9:9" x14ac:dyDescent="0.3">
      <c r="I318" s="3"/>
    </row>
    <row r="319" spans="9:9" x14ac:dyDescent="0.3">
      <c r="I319" s="3"/>
    </row>
    <row r="320" spans="9:9" x14ac:dyDescent="0.3">
      <c r="I320" s="3"/>
    </row>
    <row r="321" spans="9:9" x14ac:dyDescent="0.3">
      <c r="I321" s="3"/>
    </row>
    <row r="322" spans="9:9" x14ac:dyDescent="0.3">
      <c r="I322" s="3"/>
    </row>
    <row r="323" spans="9:9" x14ac:dyDescent="0.3">
      <c r="I323" s="3"/>
    </row>
    <row r="324" spans="9:9" x14ac:dyDescent="0.3">
      <c r="I324" s="3"/>
    </row>
    <row r="325" spans="9:9" x14ac:dyDescent="0.3">
      <c r="I325" s="3"/>
    </row>
    <row r="326" spans="9:9" x14ac:dyDescent="0.3">
      <c r="I326" s="3"/>
    </row>
    <row r="327" spans="9:9" x14ac:dyDescent="0.3">
      <c r="I327" s="3"/>
    </row>
    <row r="328" spans="9:9" x14ac:dyDescent="0.3">
      <c r="I328" s="3"/>
    </row>
    <row r="329" spans="9:9" x14ac:dyDescent="0.3">
      <c r="I329" s="3"/>
    </row>
    <row r="330" spans="9:9" x14ac:dyDescent="0.3">
      <c r="I330" s="3"/>
    </row>
    <row r="331" spans="9:9" x14ac:dyDescent="0.3">
      <c r="I331" s="3"/>
    </row>
    <row r="332" spans="9:9" x14ac:dyDescent="0.3">
      <c r="I332" s="3"/>
    </row>
    <row r="333" spans="9:9" x14ac:dyDescent="0.3">
      <c r="I333" s="3"/>
    </row>
    <row r="334" spans="9:9" x14ac:dyDescent="0.3">
      <c r="I334" s="3"/>
    </row>
    <row r="335" spans="9:9" x14ac:dyDescent="0.3">
      <c r="I335" s="3"/>
    </row>
    <row r="336" spans="9:9" x14ac:dyDescent="0.3">
      <c r="I336" s="3"/>
    </row>
    <row r="337" spans="9:9" x14ac:dyDescent="0.3">
      <c r="I337" s="3"/>
    </row>
    <row r="338" spans="9:9" x14ac:dyDescent="0.3">
      <c r="I338" s="3"/>
    </row>
    <row r="339" spans="9:9" x14ac:dyDescent="0.3">
      <c r="I339" s="3"/>
    </row>
    <row r="340" spans="9:9" x14ac:dyDescent="0.3">
      <c r="I340" s="3"/>
    </row>
    <row r="341" spans="9:9" x14ac:dyDescent="0.3">
      <c r="I341" s="3"/>
    </row>
    <row r="342" spans="9:9" x14ac:dyDescent="0.3">
      <c r="I342" s="3"/>
    </row>
    <row r="343" spans="9:9" x14ac:dyDescent="0.3">
      <c r="I343" s="3"/>
    </row>
    <row r="344" spans="9:9" x14ac:dyDescent="0.3">
      <c r="I344" s="3"/>
    </row>
    <row r="345" spans="9:9" x14ac:dyDescent="0.3">
      <c r="I345" s="3"/>
    </row>
    <row r="346" spans="9:9" x14ac:dyDescent="0.3">
      <c r="I346" s="3"/>
    </row>
    <row r="347" spans="9:9" x14ac:dyDescent="0.3">
      <c r="I347" s="3"/>
    </row>
    <row r="348" spans="9:9" x14ac:dyDescent="0.3">
      <c r="I348" s="3"/>
    </row>
    <row r="349" spans="9:9" x14ac:dyDescent="0.3">
      <c r="I349" s="3"/>
    </row>
    <row r="350" spans="9:9" x14ac:dyDescent="0.3">
      <c r="I350" s="3"/>
    </row>
    <row r="351" spans="9:9" x14ac:dyDescent="0.3">
      <c r="I351" s="3"/>
    </row>
    <row r="352" spans="9:9" x14ac:dyDescent="0.3">
      <c r="I352" s="3"/>
    </row>
    <row r="353" spans="9:9" x14ac:dyDescent="0.3">
      <c r="I353" s="3"/>
    </row>
    <row r="354" spans="9:9" x14ac:dyDescent="0.3">
      <c r="I354" s="3"/>
    </row>
    <row r="355" spans="9:9" x14ac:dyDescent="0.3">
      <c r="I355" s="3"/>
    </row>
    <row r="356" spans="9:9" x14ac:dyDescent="0.3">
      <c r="I356" s="3"/>
    </row>
    <row r="357" spans="9:9" x14ac:dyDescent="0.3">
      <c r="I357" s="3"/>
    </row>
    <row r="358" spans="9:9" x14ac:dyDescent="0.3">
      <c r="I358" s="3"/>
    </row>
    <row r="359" spans="9:9" x14ac:dyDescent="0.3">
      <c r="I359" s="3"/>
    </row>
    <row r="360" spans="9:9" x14ac:dyDescent="0.3">
      <c r="I360" s="3"/>
    </row>
    <row r="361" spans="9:9" x14ac:dyDescent="0.3">
      <c r="I361" s="3"/>
    </row>
    <row r="362" spans="9:9" x14ac:dyDescent="0.3">
      <c r="I362" s="3"/>
    </row>
    <row r="363" spans="9:9" x14ac:dyDescent="0.3">
      <c r="I363" s="3"/>
    </row>
    <row r="364" spans="9:9" x14ac:dyDescent="0.3">
      <c r="I364" s="3"/>
    </row>
    <row r="365" spans="9:9" x14ac:dyDescent="0.3">
      <c r="I365" s="3"/>
    </row>
    <row r="366" spans="9:9" x14ac:dyDescent="0.3">
      <c r="I366" s="3"/>
    </row>
    <row r="367" spans="9:9" x14ac:dyDescent="0.3">
      <c r="I367" s="3"/>
    </row>
    <row r="368" spans="9:9" x14ac:dyDescent="0.3">
      <c r="I368" s="3"/>
    </row>
    <row r="369" spans="9:9" x14ac:dyDescent="0.3">
      <c r="I369" s="3"/>
    </row>
    <row r="370" spans="9:9" x14ac:dyDescent="0.3">
      <c r="I370" s="3"/>
    </row>
    <row r="371" spans="9:9" x14ac:dyDescent="0.3">
      <c r="I371" s="3"/>
    </row>
    <row r="372" spans="9:9" x14ac:dyDescent="0.3">
      <c r="I372" s="3"/>
    </row>
    <row r="373" spans="9:9" x14ac:dyDescent="0.3">
      <c r="I373" s="3"/>
    </row>
    <row r="374" spans="9:9" x14ac:dyDescent="0.3">
      <c r="I374" s="3"/>
    </row>
    <row r="375" spans="9:9" x14ac:dyDescent="0.3">
      <c r="I375" s="3"/>
    </row>
    <row r="376" spans="9:9" x14ac:dyDescent="0.3">
      <c r="I376" s="3"/>
    </row>
    <row r="377" spans="9:9" x14ac:dyDescent="0.3">
      <c r="I377" s="3"/>
    </row>
    <row r="378" spans="9:9" x14ac:dyDescent="0.3">
      <c r="I378" s="3"/>
    </row>
    <row r="379" spans="9:9" x14ac:dyDescent="0.3">
      <c r="I379" s="3"/>
    </row>
    <row r="380" spans="9:9" x14ac:dyDescent="0.3">
      <c r="I380" s="3"/>
    </row>
    <row r="381" spans="9:9" x14ac:dyDescent="0.3">
      <c r="I381" s="3"/>
    </row>
    <row r="382" spans="9:9" x14ac:dyDescent="0.3">
      <c r="I382" s="3"/>
    </row>
    <row r="383" spans="9:9" x14ac:dyDescent="0.3">
      <c r="I383" s="3"/>
    </row>
    <row r="384" spans="9:9" x14ac:dyDescent="0.3">
      <c r="I384" s="3"/>
    </row>
    <row r="385" spans="9:9" x14ac:dyDescent="0.3">
      <c r="I385" s="3"/>
    </row>
    <row r="386" spans="9:9" x14ac:dyDescent="0.3">
      <c r="I386" s="3"/>
    </row>
    <row r="387" spans="9:9" x14ac:dyDescent="0.3">
      <c r="I387" s="3"/>
    </row>
    <row r="388" spans="9:9" x14ac:dyDescent="0.3">
      <c r="I388" s="3"/>
    </row>
    <row r="389" spans="9:9" x14ac:dyDescent="0.3">
      <c r="I389" s="3"/>
    </row>
    <row r="390" spans="9:9" x14ac:dyDescent="0.3">
      <c r="I390" s="3"/>
    </row>
    <row r="391" spans="9:9" x14ac:dyDescent="0.3">
      <c r="I391" s="3"/>
    </row>
    <row r="392" spans="9:9" x14ac:dyDescent="0.3">
      <c r="I392" s="3"/>
    </row>
    <row r="393" spans="9:9" x14ac:dyDescent="0.3">
      <c r="I393" s="3"/>
    </row>
    <row r="394" spans="9:9" x14ac:dyDescent="0.3">
      <c r="I394" s="3"/>
    </row>
    <row r="395" spans="9:9" x14ac:dyDescent="0.3">
      <c r="I395" s="3"/>
    </row>
    <row r="396" spans="9:9" x14ac:dyDescent="0.3">
      <c r="I396" s="3"/>
    </row>
    <row r="397" spans="9:9" x14ac:dyDescent="0.3">
      <c r="I397" s="3"/>
    </row>
    <row r="398" spans="9:9" x14ac:dyDescent="0.3">
      <c r="I398" s="3"/>
    </row>
    <row r="399" spans="9:9" x14ac:dyDescent="0.3">
      <c r="I399" s="3"/>
    </row>
    <row r="400" spans="9:9" x14ac:dyDescent="0.3">
      <c r="I400" s="3"/>
    </row>
    <row r="401" spans="9:9" x14ac:dyDescent="0.3">
      <c r="I401" s="3"/>
    </row>
    <row r="402" spans="9:9" x14ac:dyDescent="0.3">
      <c r="I402" s="3"/>
    </row>
    <row r="403" spans="9:9" x14ac:dyDescent="0.3">
      <c r="I403" s="3"/>
    </row>
    <row r="404" spans="9:9" x14ac:dyDescent="0.3">
      <c r="I404" s="3"/>
    </row>
    <row r="405" spans="9:9" x14ac:dyDescent="0.3">
      <c r="I405" s="3"/>
    </row>
    <row r="406" spans="9:9" x14ac:dyDescent="0.3">
      <c r="I406" s="3"/>
    </row>
    <row r="407" spans="9:9" x14ac:dyDescent="0.3">
      <c r="I407" s="3"/>
    </row>
    <row r="408" spans="9:9" x14ac:dyDescent="0.3">
      <c r="I408" s="3"/>
    </row>
    <row r="409" spans="9:9" x14ac:dyDescent="0.3">
      <c r="I409" s="3"/>
    </row>
    <row r="410" spans="9:9" x14ac:dyDescent="0.3">
      <c r="I410" s="3"/>
    </row>
    <row r="411" spans="9:9" x14ac:dyDescent="0.3">
      <c r="I411" s="3"/>
    </row>
    <row r="412" spans="9:9" x14ac:dyDescent="0.3">
      <c r="I412" s="3"/>
    </row>
    <row r="413" spans="9:9" x14ac:dyDescent="0.3">
      <c r="I413" s="3"/>
    </row>
    <row r="414" spans="9:9" x14ac:dyDescent="0.3">
      <c r="I414" s="3"/>
    </row>
    <row r="415" spans="9:9" x14ac:dyDescent="0.3">
      <c r="I415" s="3"/>
    </row>
    <row r="416" spans="9:9" x14ac:dyDescent="0.3">
      <c r="I416" s="3"/>
    </row>
    <row r="417" spans="9:9" x14ac:dyDescent="0.3">
      <c r="I417" s="3"/>
    </row>
    <row r="418" spans="9:9" x14ac:dyDescent="0.3">
      <c r="I418" s="3"/>
    </row>
    <row r="419" spans="9:9" x14ac:dyDescent="0.3">
      <c r="I419" s="3"/>
    </row>
    <row r="420" spans="9:9" x14ac:dyDescent="0.3">
      <c r="I420" s="3"/>
    </row>
    <row r="421" spans="9:9" x14ac:dyDescent="0.3">
      <c r="I421" s="3"/>
    </row>
    <row r="422" spans="9:9" x14ac:dyDescent="0.3">
      <c r="I422" s="3"/>
    </row>
    <row r="423" spans="9:9" x14ac:dyDescent="0.3">
      <c r="I423" s="3"/>
    </row>
    <row r="424" spans="9:9" x14ac:dyDescent="0.3">
      <c r="I424" s="3"/>
    </row>
    <row r="425" spans="9:9" x14ac:dyDescent="0.3">
      <c r="I425" s="3"/>
    </row>
    <row r="426" spans="9:9" x14ac:dyDescent="0.3">
      <c r="I426" s="3"/>
    </row>
    <row r="427" spans="9:9" x14ac:dyDescent="0.3">
      <c r="I427" s="3"/>
    </row>
    <row r="428" spans="9:9" x14ac:dyDescent="0.3">
      <c r="I428" s="3"/>
    </row>
    <row r="429" spans="9:9" x14ac:dyDescent="0.3">
      <c r="I429" s="3"/>
    </row>
    <row r="430" spans="9:9" x14ac:dyDescent="0.3">
      <c r="I430" s="3"/>
    </row>
    <row r="431" spans="9:9" x14ac:dyDescent="0.3">
      <c r="I431" s="3"/>
    </row>
    <row r="432" spans="9:9" x14ac:dyDescent="0.3">
      <c r="I432" s="3"/>
    </row>
    <row r="433" spans="9:9" x14ac:dyDescent="0.3">
      <c r="I433" s="3"/>
    </row>
    <row r="434" spans="9:9" x14ac:dyDescent="0.3">
      <c r="I434" s="3"/>
    </row>
    <row r="435" spans="9:9" x14ac:dyDescent="0.3">
      <c r="I435" s="3"/>
    </row>
    <row r="436" spans="9:9" x14ac:dyDescent="0.3">
      <c r="I436" s="3"/>
    </row>
    <row r="437" spans="9:9" x14ac:dyDescent="0.3">
      <c r="I437" s="3"/>
    </row>
    <row r="438" spans="9:9" x14ac:dyDescent="0.3">
      <c r="I438" s="3"/>
    </row>
    <row r="439" spans="9:9" x14ac:dyDescent="0.3">
      <c r="I439" s="3"/>
    </row>
    <row r="440" spans="9:9" x14ac:dyDescent="0.3">
      <c r="I440" s="3"/>
    </row>
    <row r="441" spans="9:9" x14ac:dyDescent="0.3">
      <c r="I441" s="3"/>
    </row>
    <row r="442" spans="9:9" x14ac:dyDescent="0.3">
      <c r="I442" s="3"/>
    </row>
    <row r="443" spans="9:9" x14ac:dyDescent="0.3">
      <c r="I443" s="3"/>
    </row>
    <row r="444" spans="9:9" x14ac:dyDescent="0.3">
      <c r="I444" s="3"/>
    </row>
    <row r="445" spans="9:9" x14ac:dyDescent="0.3">
      <c r="I445" s="3"/>
    </row>
    <row r="446" spans="9:9" x14ac:dyDescent="0.3">
      <c r="I446" s="3"/>
    </row>
    <row r="447" spans="9:9" x14ac:dyDescent="0.3">
      <c r="I447" s="3"/>
    </row>
    <row r="448" spans="9:9" x14ac:dyDescent="0.3">
      <c r="I448" s="3"/>
    </row>
    <row r="449" spans="9:9" x14ac:dyDescent="0.3">
      <c r="I449" s="3"/>
    </row>
    <row r="450" spans="9:9" x14ac:dyDescent="0.3">
      <c r="I450" s="3"/>
    </row>
    <row r="451" spans="9:9" x14ac:dyDescent="0.3">
      <c r="I451" s="3"/>
    </row>
    <row r="452" spans="9:9" x14ac:dyDescent="0.3">
      <c r="I452" s="3"/>
    </row>
    <row r="453" spans="9:9" x14ac:dyDescent="0.3">
      <c r="I453" s="3"/>
    </row>
    <row r="454" spans="9:9" x14ac:dyDescent="0.3">
      <c r="I454" s="3"/>
    </row>
    <row r="455" spans="9:9" x14ac:dyDescent="0.3">
      <c r="I455" s="3"/>
    </row>
    <row r="456" spans="9:9" x14ac:dyDescent="0.3">
      <c r="I456" s="3"/>
    </row>
    <row r="457" spans="9:9" x14ac:dyDescent="0.3">
      <c r="I457" s="3"/>
    </row>
    <row r="458" spans="9:9" x14ac:dyDescent="0.3">
      <c r="I458" s="3"/>
    </row>
    <row r="459" spans="9:9" x14ac:dyDescent="0.3">
      <c r="I459" s="3"/>
    </row>
    <row r="460" spans="9:9" x14ac:dyDescent="0.3">
      <c r="I460" s="3"/>
    </row>
    <row r="461" spans="9:9" x14ac:dyDescent="0.3">
      <c r="I461" s="3"/>
    </row>
    <row r="462" spans="9:9" x14ac:dyDescent="0.3">
      <c r="I462" s="3"/>
    </row>
    <row r="463" spans="9:9" x14ac:dyDescent="0.3">
      <c r="I463" s="3"/>
    </row>
    <row r="464" spans="9:9" x14ac:dyDescent="0.3">
      <c r="I464" s="3"/>
    </row>
    <row r="465" spans="9:9" x14ac:dyDescent="0.3">
      <c r="I465" s="3"/>
    </row>
    <row r="466" spans="9:9" x14ac:dyDescent="0.3">
      <c r="I466" s="3"/>
    </row>
    <row r="467" spans="9:9" x14ac:dyDescent="0.3">
      <c r="I467" s="3"/>
    </row>
    <row r="468" spans="9:9" x14ac:dyDescent="0.3">
      <c r="I468" s="3"/>
    </row>
    <row r="469" spans="9:9" x14ac:dyDescent="0.3">
      <c r="I469" s="3"/>
    </row>
    <row r="470" spans="9:9" x14ac:dyDescent="0.3">
      <c r="I470" s="3"/>
    </row>
    <row r="471" spans="9:9" x14ac:dyDescent="0.3">
      <c r="I471" s="3"/>
    </row>
    <row r="472" spans="9:9" x14ac:dyDescent="0.3">
      <c r="I472" s="3"/>
    </row>
    <row r="473" spans="9:9" x14ac:dyDescent="0.3">
      <c r="I473" s="3"/>
    </row>
    <row r="474" spans="9:9" x14ac:dyDescent="0.3">
      <c r="I474" s="3"/>
    </row>
    <row r="475" spans="9:9" x14ac:dyDescent="0.3">
      <c r="I475" s="3"/>
    </row>
    <row r="476" spans="9:9" x14ac:dyDescent="0.3">
      <c r="I476" s="3"/>
    </row>
    <row r="477" spans="9:9" x14ac:dyDescent="0.3">
      <c r="I477" s="3"/>
    </row>
    <row r="478" spans="9:9" x14ac:dyDescent="0.3">
      <c r="I478" s="3"/>
    </row>
    <row r="479" spans="9:9" x14ac:dyDescent="0.3">
      <c r="I479" s="3"/>
    </row>
    <row r="480" spans="9:9" x14ac:dyDescent="0.3">
      <c r="I480" s="3"/>
    </row>
    <row r="481" spans="9:9" x14ac:dyDescent="0.3">
      <c r="I481" s="3"/>
    </row>
    <row r="482" spans="9:9" x14ac:dyDescent="0.3">
      <c r="I482" s="3"/>
    </row>
    <row r="483" spans="9:9" x14ac:dyDescent="0.3">
      <c r="I483" s="3"/>
    </row>
    <row r="484" spans="9:9" x14ac:dyDescent="0.3">
      <c r="I484" s="3"/>
    </row>
    <row r="485" spans="9:9" x14ac:dyDescent="0.3">
      <c r="I485" s="3"/>
    </row>
    <row r="486" spans="9:9" x14ac:dyDescent="0.3">
      <c r="I486" s="3"/>
    </row>
    <row r="487" spans="9:9" x14ac:dyDescent="0.3">
      <c r="I487" s="3"/>
    </row>
    <row r="488" spans="9:9" x14ac:dyDescent="0.3">
      <c r="I488" s="3"/>
    </row>
    <row r="489" spans="9:9" x14ac:dyDescent="0.3">
      <c r="I489" s="3"/>
    </row>
    <row r="490" spans="9:9" x14ac:dyDescent="0.3">
      <c r="I490" s="3"/>
    </row>
    <row r="491" spans="9:9" x14ac:dyDescent="0.3">
      <c r="I491" s="3"/>
    </row>
    <row r="492" spans="9:9" x14ac:dyDescent="0.3">
      <c r="I492" s="3"/>
    </row>
    <row r="493" spans="9:9" x14ac:dyDescent="0.3">
      <c r="I493" s="3"/>
    </row>
    <row r="494" spans="9:9" x14ac:dyDescent="0.3">
      <c r="I494" s="3"/>
    </row>
    <row r="495" spans="9:9" x14ac:dyDescent="0.3">
      <c r="I495" s="3"/>
    </row>
    <row r="496" spans="9:9" x14ac:dyDescent="0.3">
      <c r="I496" s="3"/>
    </row>
    <row r="497" spans="9:9" x14ac:dyDescent="0.3">
      <c r="I497" s="3"/>
    </row>
    <row r="498" spans="9:9" x14ac:dyDescent="0.3">
      <c r="I498" s="3"/>
    </row>
    <row r="499" spans="9:9" x14ac:dyDescent="0.3">
      <c r="I499" s="3"/>
    </row>
    <row r="500" spans="9:9" x14ac:dyDescent="0.3">
      <c r="I500" s="3"/>
    </row>
    <row r="501" spans="9:9" x14ac:dyDescent="0.3">
      <c r="I501" s="3"/>
    </row>
    <row r="502" spans="9:9" x14ac:dyDescent="0.3">
      <c r="I502" s="3"/>
    </row>
    <row r="503" spans="9:9" x14ac:dyDescent="0.3">
      <c r="I503" s="3"/>
    </row>
    <row r="504" spans="9:9" x14ac:dyDescent="0.3">
      <c r="I504" s="3"/>
    </row>
    <row r="505" spans="9:9" x14ac:dyDescent="0.3">
      <c r="I505" s="3"/>
    </row>
    <row r="506" spans="9:9" x14ac:dyDescent="0.3">
      <c r="I506" s="3"/>
    </row>
    <row r="507" spans="9:9" x14ac:dyDescent="0.3">
      <c r="I507" s="3"/>
    </row>
    <row r="508" spans="9:9" x14ac:dyDescent="0.3">
      <c r="I508" s="3"/>
    </row>
    <row r="509" spans="9:9" x14ac:dyDescent="0.3">
      <c r="I509" s="3"/>
    </row>
    <row r="510" spans="9:9" x14ac:dyDescent="0.3">
      <c r="I510" s="3"/>
    </row>
    <row r="511" spans="9:9" x14ac:dyDescent="0.3">
      <c r="I511" s="3"/>
    </row>
    <row r="512" spans="9:9" x14ac:dyDescent="0.3">
      <c r="I512" s="3"/>
    </row>
    <row r="513" spans="9:9" x14ac:dyDescent="0.3">
      <c r="I513" s="3"/>
    </row>
    <row r="514" spans="9:9" x14ac:dyDescent="0.3">
      <c r="I514" s="3"/>
    </row>
    <row r="515" spans="9:9" x14ac:dyDescent="0.3">
      <c r="I515" s="3"/>
    </row>
    <row r="516" spans="9:9" x14ac:dyDescent="0.3">
      <c r="I516" s="3"/>
    </row>
    <row r="517" spans="9:9" x14ac:dyDescent="0.3">
      <c r="I517" s="3"/>
    </row>
    <row r="518" spans="9:9" x14ac:dyDescent="0.3">
      <c r="I518" s="3"/>
    </row>
    <row r="519" spans="9:9" x14ac:dyDescent="0.3">
      <c r="I519" s="3"/>
    </row>
    <row r="520" spans="9:9" x14ac:dyDescent="0.3">
      <c r="I520" s="3"/>
    </row>
    <row r="521" spans="9:9" x14ac:dyDescent="0.3">
      <c r="I521" s="3"/>
    </row>
    <row r="522" spans="9:9" x14ac:dyDescent="0.3">
      <c r="I522" s="3"/>
    </row>
  </sheetData>
  <mergeCells count="112">
    <mergeCell ref="AD7:AF7"/>
    <mergeCell ref="AD12:AF12"/>
    <mergeCell ref="AG7:AI7"/>
    <mergeCell ref="AJ7:AL7"/>
    <mergeCell ref="AM7:AO7"/>
    <mergeCell ref="AJ11:AL11"/>
    <mergeCell ref="AA11:AC11"/>
    <mergeCell ref="AG8:AI8"/>
    <mergeCell ref="AG9:AI9"/>
    <mergeCell ref="AG10:AI10"/>
    <mergeCell ref="AG11:AI11"/>
    <mergeCell ref="AD8:AF8"/>
    <mergeCell ref="AD9:AF9"/>
    <mergeCell ref="AD10:AF10"/>
    <mergeCell ref="AD11:AF11"/>
    <mergeCell ref="AG12:AI12"/>
    <mergeCell ref="AM12:AO12"/>
    <mergeCell ref="AJ12:AL12"/>
    <mergeCell ref="A2:AR2"/>
    <mergeCell ref="A1:AR1"/>
    <mergeCell ref="L8:N8"/>
    <mergeCell ref="O8:Q8"/>
    <mergeCell ref="U6:W6"/>
    <mergeCell ref="U8:W8"/>
    <mergeCell ref="R8:T8"/>
    <mergeCell ref="A3:AR3"/>
    <mergeCell ref="A4:AR4"/>
    <mergeCell ref="C6:E6"/>
    <mergeCell ref="F6:H6"/>
    <mergeCell ref="I6:K6"/>
    <mergeCell ref="L6:N6"/>
    <mergeCell ref="A6:B6"/>
    <mergeCell ref="B5:AL5"/>
    <mergeCell ref="O6:Q6"/>
    <mergeCell ref="AM8:AO8"/>
    <mergeCell ref="AA8:AC8"/>
    <mergeCell ref="R6:T6"/>
    <mergeCell ref="AG6:AI6"/>
    <mergeCell ref="AM6:AO6"/>
    <mergeCell ref="AJ6:AL6"/>
    <mergeCell ref="AD6:AF6"/>
    <mergeCell ref="C8:E8"/>
    <mergeCell ref="A14:A15"/>
    <mergeCell ref="B14:B15"/>
    <mergeCell ref="C14:E14"/>
    <mergeCell ref="X14:Z14"/>
    <mergeCell ref="U14:W14"/>
    <mergeCell ref="R14:T14"/>
    <mergeCell ref="O14:Q14"/>
    <mergeCell ref="L14:N14"/>
    <mergeCell ref="I14:K14"/>
    <mergeCell ref="F14:H14"/>
    <mergeCell ref="X6:Z6"/>
    <mergeCell ref="AM14:AO14"/>
    <mergeCell ref="AA14:AC14"/>
    <mergeCell ref="AD14:AF14"/>
    <mergeCell ref="AG14:AI14"/>
    <mergeCell ref="AJ14:AL14"/>
    <mergeCell ref="R11:T11"/>
    <mergeCell ref="U11:W11"/>
    <mergeCell ref="X8:Z8"/>
    <mergeCell ref="X9:Z9"/>
    <mergeCell ref="X10:Z10"/>
    <mergeCell ref="X11:Z11"/>
    <mergeCell ref="AA6:AC6"/>
    <mergeCell ref="U9:W9"/>
    <mergeCell ref="U10:W10"/>
    <mergeCell ref="AM9:AO9"/>
    <mergeCell ref="AM10:AO10"/>
    <mergeCell ref="AA12:AC12"/>
    <mergeCell ref="AA9:AC9"/>
    <mergeCell ref="AA10:AC10"/>
    <mergeCell ref="AM11:AO11"/>
    <mergeCell ref="AJ8:AL8"/>
    <mergeCell ref="AJ9:AL9"/>
    <mergeCell ref="AJ10:AL10"/>
    <mergeCell ref="I12:K12"/>
    <mergeCell ref="I8:K8"/>
    <mergeCell ref="I9:K9"/>
    <mergeCell ref="I10:K10"/>
    <mergeCell ref="I11:K11"/>
    <mergeCell ref="X12:Z12"/>
    <mergeCell ref="U12:W12"/>
    <mergeCell ref="R12:T12"/>
    <mergeCell ref="O12:Q12"/>
    <mergeCell ref="L12:N12"/>
    <mergeCell ref="O9:Q9"/>
    <mergeCell ref="O10:Q10"/>
    <mergeCell ref="O11:Q11"/>
    <mergeCell ref="L11:N11"/>
    <mergeCell ref="L9:N9"/>
    <mergeCell ref="L10:N10"/>
    <mergeCell ref="R9:T9"/>
    <mergeCell ref="R10:T10"/>
    <mergeCell ref="C9:E9"/>
    <mergeCell ref="C10:E10"/>
    <mergeCell ref="C11:E11"/>
    <mergeCell ref="C12:E12"/>
    <mergeCell ref="F12:H12"/>
    <mergeCell ref="F9:H9"/>
    <mergeCell ref="F8:H8"/>
    <mergeCell ref="F10:H10"/>
    <mergeCell ref="F11:H11"/>
    <mergeCell ref="C7:E7"/>
    <mergeCell ref="F7:H7"/>
    <mergeCell ref="I7:K7"/>
    <mergeCell ref="L7:N7"/>
    <mergeCell ref="O7:Q7"/>
    <mergeCell ref="R7:T7"/>
    <mergeCell ref="U7:W7"/>
    <mergeCell ref="X7:Z7"/>
    <mergeCell ref="AA7:AC7"/>
  </mergeCells>
  <phoneticPr fontId="73" type="noConversion"/>
  <pageMargins left="0.23622047244094499" right="0.23622047244094499" top="0.15748031496063" bottom="0.118110236220472" header="0.118110236220472" footer="0.118110236220472"/>
  <pageSetup scale="6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showGridLines="0" topLeftCell="A5" workbookViewId="0">
      <selection activeCell="B11" sqref="B11"/>
    </sheetView>
  </sheetViews>
  <sheetFormatPr baseColWidth="10" defaultRowHeight="12.75" x14ac:dyDescent="0.2"/>
  <cols>
    <col min="1" max="1" width="7.28515625" style="94" customWidth="1"/>
    <col min="2" max="2" width="44.5703125" style="94" bestFit="1" customWidth="1"/>
    <col min="3" max="3" width="12.7109375" style="94" customWidth="1"/>
    <col min="4" max="4" width="14" style="94" customWidth="1"/>
    <col min="5" max="5" width="18.28515625" style="94" customWidth="1"/>
    <col min="6" max="6" width="17.7109375" style="94" customWidth="1"/>
    <col min="7" max="7" width="20.140625" style="94" customWidth="1"/>
    <col min="8" max="9" width="15.85546875" style="94" bestFit="1" customWidth="1"/>
    <col min="10" max="10" width="17.7109375" style="94" customWidth="1"/>
    <col min="11" max="252" width="11.42578125" style="94"/>
    <col min="253" max="253" width="7.28515625" style="94" customWidth="1"/>
    <col min="254" max="254" width="44.5703125" style="94" bestFit="1" customWidth="1"/>
    <col min="255" max="255" width="14" style="94" customWidth="1"/>
    <col min="256" max="256" width="18.28515625" style="94" customWidth="1"/>
    <col min="257" max="257" width="17.7109375" style="94" customWidth="1"/>
    <col min="258" max="258" width="20.140625" style="94" customWidth="1"/>
    <col min="259" max="259" width="15.85546875" style="94" bestFit="1" customWidth="1"/>
    <col min="260" max="260" width="16.85546875" style="94" customWidth="1"/>
    <col min="261" max="261" width="15.85546875" style="94" bestFit="1" customWidth="1"/>
    <col min="262" max="262" width="16.42578125" style="94" bestFit="1" customWidth="1"/>
    <col min="263" max="263" width="9.42578125" style="94" customWidth="1"/>
    <col min="264" max="264" width="17.7109375" style="94" customWidth="1"/>
    <col min="265" max="508" width="11.42578125" style="94"/>
    <col min="509" max="509" width="7.28515625" style="94" customWidth="1"/>
    <col min="510" max="510" width="44.5703125" style="94" bestFit="1" customWidth="1"/>
    <col min="511" max="511" width="14" style="94" customWidth="1"/>
    <col min="512" max="512" width="18.28515625" style="94" customWidth="1"/>
    <col min="513" max="513" width="17.7109375" style="94" customWidth="1"/>
    <col min="514" max="514" width="20.140625" style="94" customWidth="1"/>
    <col min="515" max="515" width="15.85546875" style="94" bestFit="1" customWidth="1"/>
    <col min="516" max="516" width="16.85546875" style="94" customWidth="1"/>
    <col min="517" max="517" width="15.85546875" style="94" bestFit="1" customWidth="1"/>
    <col min="518" max="518" width="16.42578125" style="94" bestFit="1" customWidth="1"/>
    <col min="519" max="519" width="9.42578125" style="94" customWidth="1"/>
    <col min="520" max="520" width="17.7109375" style="94" customWidth="1"/>
    <col min="521" max="764" width="11.42578125" style="94"/>
    <col min="765" max="765" width="7.28515625" style="94" customWidth="1"/>
    <col min="766" max="766" width="44.5703125" style="94" bestFit="1" customWidth="1"/>
    <col min="767" max="767" width="14" style="94" customWidth="1"/>
    <col min="768" max="768" width="18.28515625" style="94" customWidth="1"/>
    <col min="769" max="769" width="17.7109375" style="94" customWidth="1"/>
    <col min="770" max="770" width="20.140625" style="94" customWidth="1"/>
    <col min="771" max="771" width="15.85546875" style="94" bestFit="1" customWidth="1"/>
    <col min="772" max="772" width="16.85546875" style="94" customWidth="1"/>
    <col min="773" max="773" width="15.85546875" style="94" bestFit="1" customWidth="1"/>
    <col min="774" max="774" width="16.42578125" style="94" bestFit="1" customWidth="1"/>
    <col min="775" max="775" width="9.42578125" style="94" customWidth="1"/>
    <col min="776" max="776" width="17.7109375" style="94" customWidth="1"/>
    <col min="777" max="1020" width="11.42578125" style="94"/>
    <col min="1021" max="1021" width="7.28515625" style="94" customWidth="1"/>
    <col min="1022" max="1022" width="44.5703125" style="94" bestFit="1" customWidth="1"/>
    <col min="1023" max="1023" width="14" style="94" customWidth="1"/>
    <col min="1024" max="1024" width="18.28515625" style="94" customWidth="1"/>
    <col min="1025" max="1025" width="17.7109375" style="94" customWidth="1"/>
    <col min="1026" max="1026" width="20.140625" style="94" customWidth="1"/>
    <col min="1027" max="1027" width="15.85546875" style="94" bestFit="1" customWidth="1"/>
    <col min="1028" max="1028" width="16.85546875" style="94" customWidth="1"/>
    <col min="1029" max="1029" width="15.85546875" style="94" bestFit="1" customWidth="1"/>
    <col min="1030" max="1030" width="16.42578125" style="94" bestFit="1" customWidth="1"/>
    <col min="1031" max="1031" width="9.42578125" style="94" customWidth="1"/>
    <col min="1032" max="1032" width="17.7109375" style="94" customWidth="1"/>
    <col min="1033" max="1276" width="11.42578125" style="94"/>
    <col min="1277" max="1277" width="7.28515625" style="94" customWidth="1"/>
    <col min="1278" max="1278" width="44.5703125" style="94" bestFit="1" customWidth="1"/>
    <col min="1279" max="1279" width="14" style="94" customWidth="1"/>
    <col min="1280" max="1280" width="18.28515625" style="94" customWidth="1"/>
    <col min="1281" max="1281" width="17.7109375" style="94" customWidth="1"/>
    <col min="1282" max="1282" width="20.140625" style="94" customWidth="1"/>
    <col min="1283" max="1283" width="15.85546875" style="94" bestFit="1" customWidth="1"/>
    <col min="1284" max="1284" width="16.85546875" style="94" customWidth="1"/>
    <col min="1285" max="1285" width="15.85546875" style="94" bestFit="1" customWidth="1"/>
    <col min="1286" max="1286" width="16.42578125" style="94" bestFit="1" customWidth="1"/>
    <col min="1287" max="1287" width="9.42578125" style="94" customWidth="1"/>
    <col min="1288" max="1288" width="17.7109375" style="94" customWidth="1"/>
    <col min="1289" max="1532" width="11.42578125" style="94"/>
    <col min="1533" max="1533" width="7.28515625" style="94" customWidth="1"/>
    <col min="1534" max="1534" width="44.5703125" style="94" bestFit="1" customWidth="1"/>
    <col min="1535" max="1535" width="14" style="94" customWidth="1"/>
    <col min="1536" max="1536" width="18.28515625" style="94" customWidth="1"/>
    <col min="1537" max="1537" width="17.7109375" style="94" customWidth="1"/>
    <col min="1538" max="1538" width="20.140625" style="94" customWidth="1"/>
    <col min="1539" max="1539" width="15.85546875" style="94" bestFit="1" customWidth="1"/>
    <col min="1540" max="1540" width="16.85546875" style="94" customWidth="1"/>
    <col min="1541" max="1541" width="15.85546875" style="94" bestFit="1" customWidth="1"/>
    <col min="1542" max="1542" width="16.42578125" style="94" bestFit="1" customWidth="1"/>
    <col min="1543" max="1543" width="9.42578125" style="94" customWidth="1"/>
    <col min="1544" max="1544" width="17.7109375" style="94" customWidth="1"/>
    <col min="1545" max="1788" width="11.42578125" style="94"/>
    <col min="1789" max="1789" width="7.28515625" style="94" customWidth="1"/>
    <col min="1790" max="1790" width="44.5703125" style="94" bestFit="1" customWidth="1"/>
    <col min="1791" max="1791" width="14" style="94" customWidth="1"/>
    <col min="1792" max="1792" width="18.28515625" style="94" customWidth="1"/>
    <col min="1793" max="1793" width="17.7109375" style="94" customWidth="1"/>
    <col min="1794" max="1794" width="20.140625" style="94" customWidth="1"/>
    <col min="1795" max="1795" width="15.85546875" style="94" bestFit="1" customWidth="1"/>
    <col min="1796" max="1796" width="16.85546875" style="94" customWidth="1"/>
    <col min="1797" max="1797" width="15.85546875" style="94" bestFit="1" customWidth="1"/>
    <col min="1798" max="1798" width="16.42578125" style="94" bestFit="1" customWidth="1"/>
    <col min="1799" max="1799" width="9.42578125" style="94" customWidth="1"/>
    <col min="1800" max="1800" width="17.7109375" style="94" customWidth="1"/>
    <col min="1801" max="2044" width="11.42578125" style="94"/>
    <col min="2045" max="2045" width="7.28515625" style="94" customWidth="1"/>
    <col min="2046" max="2046" width="44.5703125" style="94" bestFit="1" customWidth="1"/>
    <col min="2047" max="2047" width="14" style="94" customWidth="1"/>
    <col min="2048" max="2048" width="18.28515625" style="94" customWidth="1"/>
    <col min="2049" max="2049" width="17.7109375" style="94" customWidth="1"/>
    <col min="2050" max="2050" width="20.140625" style="94" customWidth="1"/>
    <col min="2051" max="2051" width="15.85546875" style="94" bestFit="1" customWidth="1"/>
    <col min="2052" max="2052" width="16.85546875" style="94" customWidth="1"/>
    <col min="2053" max="2053" width="15.85546875" style="94" bestFit="1" customWidth="1"/>
    <col min="2054" max="2054" width="16.42578125" style="94" bestFit="1" customWidth="1"/>
    <col min="2055" max="2055" width="9.42578125" style="94" customWidth="1"/>
    <col min="2056" max="2056" width="17.7109375" style="94" customWidth="1"/>
    <col min="2057" max="2300" width="11.42578125" style="94"/>
    <col min="2301" max="2301" width="7.28515625" style="94" customWidth="1"/>
    <col min="2302" max="2302" width="44.5703125" style="94" bestFit="1" customWidth="1"/>
    <col min="2303" max="2303" width="14" style="94" customWidth="1"/>
    <col min="2304" max="2304" width="18.28515625" style="94" customWidth="1"/>
    <col min="2305" max="2305" width="17.7109375" style="94" customWidth="1"/>
    <col min="2306" max="2306" width="20.140625" style="94" customWidth="1"/>
    <col min="2307" max="2307" width="15.85546875" style="94" bestFit="1" customWidth="1"/>
    <col min="2308" max="2308" width="16.85546875" style="94" customWidth="1"/>
    <col min="2309" max="2309" width="15.85546875" style="94" bestFit="1" customWidth="1"/>
    <col min="2310" max="2310" width="16.42578125" style="94" bestFit="1" customWidth="1"/>
    <col min="2311" max="2311" width="9.42578125" style="94" customWidth="1"/>
    <col min="2312" max="2312" width="17.7109375" style="94" customWidth="1"/>
    <col min="2313" max="2556" width="11.42578125" style="94"/>
    <col min="2557" max="2557" width="7.28515625" style="94" customWidth="1"/>
    <col min="2558" max="2558" width="44.5703125" style="94" bestFit="1" customWidth="1"/>
    <col min="2559" max="2559" width="14" style="94" customWidth="1"/>
    <col min="2560" max="2560" width="18.28515625" style="94" customWidth="1"/>
    <col min="2561" max="2561" width="17.7109375" style="94" customWidth="1"/>
    <col min="2562" max="2562" width="20.140625" style="94" customWidth="1"/>
    <col min="2563" max="2563" width="15.85546875" style="94" bestFit="1" customWidth="1"/>
    <col min="2564" max="2564" width="16.85546875" style="94" customWidth="1"/>
    <col min="2565" max="2565" width="15.85546875" style="94" bestFit="1" customWidth="1"/>
    <col min="2566" max="2566" width="16.42578125" style="94" bestFit="1" customWidth="1"/>
    <col min="2567" max="2567" width="9.42578125" style="94" customWidth="1"/>
    <col min="2568" max="2568" width="17.7109375" style="94" customWidth="1"/>
    <col min="2569" max="2812" width="11.42578125" style="94"/>
    <col min="2813" max="2813" width="7.28515625" style="94" customWidth="1"/>
    <col min="2814" max="2814" width="44.5703125" style="94" bestFit="1" customWidth="1"/>
    <col min="2815" max="2815" width="14" style="94" customWidth="1"/>
    <col min="2816" max="2816" width="18.28515625" style="94" customWidth="1"/>
    <col min="2817" max="2817" width="17.7109375" style="94" customWidth="1"/>
    <col min="2818" max="2818" width="20.140625" style="94" customWidth="1"/>
    <col min="2819" max="2819" width="15.85546875" style="94" bestFit="1" customWidth="1"/>
    <col min="2820" max="2820" width="16.85546875" style="94" customWidth="1"/>
    <col min="2821" max="2821" width="15.85546875" style="94" bestFit="1" customWidth="1"/>
    <col min="2822" max="2822" width="16.42578125" style="94" bestFit="1" customWidth="1"/>
    <col min="2823" max="2823" width="9.42578125" style="94" customWidth="1"/>
    <col min="2824" max="2824" width="17.7109375" style="94" customWidth="1"/>
    <col min="2825" max="3068" width="11.42578125" style="94"/>
    <col min="3069" max="3069" width="7.28515625" style="94" customWidth="1"/>
    <col min="3070" max="3070" width="44.5703125" style="94" bestFit="1" customWidth="1"/>
    <col min="3071" max="3071" width="14" style="94" customWidth="1"/>
    <col min="3072" max="3072" width="18.28515625" style="94" customWidth="1"/>
    <col min="3073" max="3073" width="17.7109375" style="94" customWidth="1"/>
    <col min="3074" max="3074" width="20.140625" style="94" customWidth="1"/>
    <col min="3075" max="3075" width="15.85546875" style="94" bestFit="1" customWidth="1"/>
    <col min="3076" max="3076" width="16.85546875" style="94" customWidth="1"/>
    <col min="3077" max="3077" width="15.85546875" style="94" bestFit="1" customWidth="1"/>
    <col min="3078" max="3078" width="16.42578125" style="94" bestFit="1" customWidth="1"/>
    <col min="3079" max="3079" width="9.42578125" style="94" customWidth="1"/>
    <col min="3080" max="3080" width="17.7109375" style="94" customWidth="1"/>
    <col min="3081" max="3324" width="11.42578125" style="94"/>
    <col min="3325" max="3325" width="7.28515625" style="94" customWidth="1"/>
    <col min="3326" max="3326" width="44.5703125" style="94" bestFit="1" customWidth="1"/>
    <col min="3327" max="3327" width="14" style="94" customWidth="1"/>
    <col min="3328" max="3328" width="18.28515625" style="94" customWidth="1"/>
    <col min="3329" max="3329" width="17.7109375" style="94" customWidth="1"/>
    <col min="3330" max="3330" width="20.140625" style="94" customWidth="1"/>
    <col min="3331" max="3331" width="15.85546875" style="94" bestFit="1" customWidth="1"/>
    <col min="3332" max="3332" width="16.85546875" style="94" customWidth="1"/>
    <col min="3333" max="3333" width="15.85546875" style="94" bestFit="1" customWidth="1"/>
    <col min="3334" max="3334" width="16.42578125" style="94" bestFit="1" customWidth="1"/>
    <col min="3335" max="3335" width="9.42578125" style="94" customWidth="1"/>
    <col min="3336" max="3336" width="17.7109375" style="94" customWidth="1"/>
    <col min="3337" max="3580" width="11.42578125" style="94"/>
    <col min="3581" max="3581" width="7.28515625" style="94" customWidth="1"/>
    <col min="3582" max="3582" width="44.5703125" style="94" bestFit="1" customWidth="1"/>
    <col min="3583" max="3583" width="14" style="94" customWidth="1"/>
    <col min="3584" max="3584" width="18.28515625" style="94" customWidth="1"/>
    <col min="3585" max="3585" width="17.7109375" style="94" customWidth="1"/>
    <col min="3586" max="3586" width="20.140625" style="94" customWidth="1"/>
    <col min="3587" max="3587" width="15.85546875" style="94" bestFit="1" customWidth="1"/>
    <col min="3588" max="3588" width="16.85546875" style="94" customWidth="1"/>
    <col min="3589" max="3589" width="15.85546875" style="94" bestFit="1" customWidth="1"/>
    <col min="3590" max="3590" width="16.42578125" style="94" bestFit="1" customWidth="1"/>
    <col min="3591" max="3591" width="9.42578125" style="94" customWidth="1"/>
    <col min="3592" max="3592" width="17.7109375" style="94" customWidth="1"/>
    <col min="3593" max="3836" width="11.42578125" style="94"/>
    <col min="3837" max="3837" width="7.28515625" style="94" customWidth="1"/>
    <col min="3838" max="3838" width="44.5703125" style="94" bestFit="1" customWidth="1"/>
    <col min="3839" max="3839" width="14" style="94" customWidth="1"/>
    <col min="3840" max="3840" width="18.28515625" style="94" customWidth="1"/>
    <col min="3841" max="3841" width="17.7109375" style="94" customWidth="1"/>
    <col min="3842" max="3842" width="20.140625" style="94" customWidth="1"/>
    <col min="3843" max="3843" width="15.85546875" style="94" bestFit="1" customWidth="1"/>
    <col min="3844" max="3844" width="16.85546875" style="94" customWidth="1"/>
    <col min="3845" max="3845" width="15.85546875" style="94" bestFit="1" customWidth="1"/>
    <col min="3846" max="3846" width="16.42578125" style="94" bestFit="1" customWidth="1"/>
    <col min="3847" max="3847" width="9.42578125" style="94" customWidth="1"/>
    <col min="3848" max="3848" width="17.7109375" style="94" customWidth="1"/>
    <col min="3849" max="4092" width="11.42578125" style="94"/>
    <col min="4093" max="4093" width="7.28515625" style="94" customWidth="1"/>
    <col min="4094" max="4094" width="44.5703125" style="94" bestFit="1" customWidth="1"/>
    <col min="4095" max="4095" width="14" style="94" customWidth="1"/>
    <col min="4096" max="4096" width="18.28515625" style="94" customWidth="1"/>
    <col min="4097" max="4097" width="17.7109375" style="94" customWidth="1"/>
    <col min="4098" max="4098" width="20.140625" style="94" customWidth="1"/>
    <col min="4099" max="4099" width="15.85546875" style="94" bestFit="1" customWidth="1"/>
    <col min="4100" max="4100" width="16.85546875" style="94" customWidth="1"/>
    <col min="4101" max="4101" width="15.85546875" style="94" bestFit="1" customWidth="1"/>
    <col min="4102" max="4102" width="16.42578125" style="94" bestFit="1" customWidth="1"/>
    <col min="4103" max="4103" width="9.42578125" style="94" customWidth="1"/>
    <col min="4104" max="4104" width="17.7109375" style="94" customWidth="1"/>
    <col min="4105" max="4348" width="11.42578125" style="94"/>
    <col min="4349" max="4349" width="7.28515625" style="94" customWidth="1"/>
    <col min="4350" max="4350" width="44.5703125" style="94" bestFit="1" customWidth="1"/>
    <col min="4351" max="4351" width="14" style="94" customWidth="1"/>
    <col min="4352" max="4352" width="18.28515625" style="94" customWidth="1"/>
    <col min="4353" max="4353" width="17.7109375" style="94" customWidth="1"/>
    <col min="4354" max="4354" width="20.140625" style="94" customWidth="1"/>
    <col min="4355" max="4355" width="15.85546875" style="94" bestFit="1" customWidth="1"/>
    <col min="4356" max="4356" width="16.85546875" style="94" customWidth="1"/>
    <col min="4357" max="4357" width="15.85546875" style="94" bestFit="1" customWidth="1"/>
    <col min="4358" max="4358" width="16.42578125" style="94" bestFit="1" customWidth="1"/>
    <col min="4359" max="4359" width="9.42578125" style="94" customWidth="1"/>
    <col min="4360" max="4360" width="17.7109375" style="94" customWidth="1"/>
    <col min="4361" max="4604" width="11.42578125" style="94"/>
    <col min="4605" max="4605" width="7.28515625" style="94" customWidth="1"/>
    <col min="4606" max="4606" width="44.5703125" style="94" bestFit="1" customWidth="1"/>
    <col min="4607" max="4607" width="14" style="94" customWidth="1"/>
    <col min="4608" max="4608" width="18.28515625" style="94" customWidth="1"/>
    <col min="4609" max="4609" width="17.7109375" style="94" customWidth="1"/>
    <col min="4610" max="4610" width="20.140625" style="94" customWidth="1"/>
    <col min="4611" max="4611" width="15.85546875" style="94" bestFit="1" customWidth="1"/>
    <col min="4612" max="4612" width="16.85546875" style="94" customWidth="1"/>
    <col min="4613" max="4613" width="15.85546875" style="94" bestFit="1" customWidth="1"/>
    <col min="4614" max="4614" width="16.42578125" style="94" bestFit="1" customWidth="1"/>
    <col min="4615" max="4615" width="9.42578125" style="94" customWidth="1"/>
    <col min="4616" max="4616" width="17.7109375" style="94" customWidth="1"/>
    <col min="4617" max="4860" width="11.42578125" style="94"/>
    <col min="4861" max="4861" width="7.28515625" style="94" customWidth="1"/>
    <col min="4862" max="4862" width="44.5703125" style="94" bestFit="1" customWidth="1"/>
    <col min="4863" max="4863" width="14" style="94" customWidth="1"/>
    <col min="4864" max="4864" width="18.28515625" style="94" customWidth="1"/>
    <col min="4865" max="4865" width="17.7109375" style="94" customWidth="1"/>
    <col min="4866" max="4866" width="20.140625" style="94" customWidth="1"/>
    <col min="4867" max="4867" width="15.85546875" style="94" bestFit="1" customWidth="1"/>
    <col min="4868" max="4868" width="16.85546875" style="94" customWidth="1"/>
    <col min="4869" max="4869" width="15.85546875" style="94" bestFit="1" customWidth="1"/>
    <col min="4870" max="4870" width="16.42578125" style="94" bestFit="1" customWidth="1"/>
    <col min="4871" max="4871" width="9.42578125" style="94" customWidth="1"/>
    <col min="4872" max="4872" width="17.7109375" style="94" customWidth="1"/>
    <col min="4873" max="5116" width="11.42578125" style="94"/>
    <col min="5117" max="5117" width="7.28515625" style="94" customWidth="1"/>
    <col min="5118" max="5118" width="44.5703125" style="94" bestFit="1" customWidth="1"/>
    <col min="5119" max="5119" width="14" style="94" customWidth="1"/>
    <col min="5120" max="5120" width="18.28515625" style="94" customWidth="1"/>
    <col min="5121" max="5121" width="17.7109375" style="94" customWidth="1"/>
    <col min="5122" max="5122" width="20.140625" style="94" customWidth="1"/>
    <col min="5123" max="5123" width="15.85546875" style="94" bestFit="1" customWidth="1"/>
    <col min="5124" max="5124" width="16.85546875" style="94" customWidth="1"/>
    <col min="5125" max="5125" width="15.85546875" style="94" bestFit="1" customWidth="1"/>
    <col min="5126" max="5126" width="16.42578125" style="94" bestFit="1" customWidth="1"/>
    <col min="5127" max="5127" width="9.42578125" style="94" customWidth="1"/>
    <col min="5128" max="5128" width="17.7109375" style="94" customWidth="1"/>
    <col min="5129" max="5372" width="11.42578125" style="94"/>
    <col min="5373" max="5373" width="7.28515625" style="94" customWidth="1"/>
    <col min="5374" max="5374" width="44.5703125" style="94" bestFit="1" customWidth="1"/>
    <col min="5375" max="5375" width="14" style="94" customWidth="1"/>
    <col min="5376" max="5376" width="18.28515625" style="94" customWidth="1"/>
    <col min="5377" max="5377" width="17.7109375" style="94" customWidth="1"/>
    <col min="5378" max="5378" width="20.140625" style="94" customWidth="1"/>
    <col min="5379" max="5379" width="15.85546875" style="94" bestFit="1" customWidth="1"/>
    <col min="5380" max="5380" width="16.85546875" style="94" customWidth="1"/>
    <col min="5381" max="5381" width="15.85546875" style="94" bestFit="1" customWidth="1"/>
    <col min="5382" max="5382" width="16.42578125" style="94" bestFit="1" customWidth="1"/>
    <col min="5383" max="5383" width="9.42578125" style="94" customWidth="1"/>
    <col min="5384" max="5384" width="17.7109375" style="94" customWidth="1"/>
    <col min="5385" max="5628" width="11.42578125" style="94"/>
    <col min="5629" max="5629" width="7.28515625" style="94" customWidth="1"/>
    <col min="5630" max="5630" width="44.5703125" style="94" bestFit="1" customWidth="1"/>
    <col min="5631" max="5631" width="14" style="94" customWidth="1"/>
    <col min="5632" max="5632" width="18.28515625" style="94" customWidth="1"/>
    <col min="5633" max="5633" width="17.7109375" style="94" customWidth="1"/>
    <col min="5634" max="5634" width="20.140625" style="94" customWidth="1"/>
    <col min="5635" max="5635" width="15.85546875" style="94" bestFit="1" customWidth="1"/>
    <col min="5636" max="5636" width="16.85546875" style="94" customWidth="1"/>
    <col min="5637" max="5637" width="15.85546875" style="94" bestFit="1" customWidth="1"/>
    <col min="5638" max="5638" width="16.42578125" style="94" bestFit="1" customWidth="1"/>
    <col min="5639" max="5639" width="9.42578125" style="94" customWidth="1"/>
    <col min="5640" max="5640" width="17.7109375" style="94" customWidth="1"/>
    <col min="5641" max="5884" width="11.42578125" style="94"/>
    <col min="5885" max="5885" width="7.28515625" style="94" customWidth="1"/>
    <col min="5886" max="5886" width="44.5703125" style="94" bestFit="1" customWidth="1"/>
    <col min="5887" max="5887" width="14" style="94" customWidth="1"/>
    <col min="5888" max="5888" width="18.28515625" style="94" customWidth="1"/>
    <col min="5889" max="5889" width="17.7109375" style="94" customWidth="1"/>
    <col min="5890" max="5890" width="20.140625" style="94" customWidth="1"/>
    <col min="5891" max="5891" width="15.85546875" style="94" bestFit="1" customWidth="1"/>
    <col min="5892" max="5892" width="16.85546875" style="94" customWidth="1"/>
    <col min="5893" max="5893" width="15.85546875" style="94" bestFit="1" customWidth="1"/>
    <col min="5894" max="5894" width="16.42578125" style="94" bestFit="1" customWidth="1"/>
    <col min="5895" max="5895" width="9.42578125" style="94" customWidth="1"/>
    <col min="5896" max="5896" width="17.7109375" style="94" customWidth="1"/>
    <col min="5897" max="6140" width="11.42578125" style="94"/>
    <col min="6141" max="6141" width="7.28515625" style="94" customWidth="1"/>
    <col min="6142" max="6142" width="44.5703125" style="94" bestFit="1" customWidth="1"/>
    <col min="6143" max="6143" width="14" style="94" customWidth="1"/>
    <col min="6144" max="6144" width="18.28515625" style="94" customWidth="1"/>
    <col min="6145" max="6145" width="17.7109375" style="94" customWidth="1"/>
    <col min="6146" max="6146" width="20.140625" style="94" customWidth="1"/>
    <col min="6147" max="6147" width="15.85546875" style="94" bestFit="1" customWidth="1"/>
    <col min="6148" max="6148" width="16.85546875" style="94" customWidth="1"/>
    <col min="6149" max="6149" width="15.85546875" style="94" bestFit="1" customWidth="1"/>
    <col min="6150" max="6150" width="16.42578125" style="94" bestFit="1" customWidth="1"/>
    <col min="6151" max="6151" width="9.42578125" style="94" customWidth="1"/>
    <col min="6152" max="6152" width="17.7109375" style="94" customWidth="1"/>
    <col min="6153" max="6396" width="11.42578125" style="94"/>
    <col min="6397" max="6397" width="7.28515625" style="94" customWidth="1"/>
    <col min="6398" max="6398" width="44.5703125" style="94" bestFit="1" customWidth="1"/>
    <col min="6399" max="6399" width="14" style="94" customWidth="1"/>
    <col min="6400" max="6400" width="18.28515625" style="94" customWidth="1"/>
    <col min="6401" max="6401" width="17.7109375" style="94" customWidth="1"/>
    <col min="6402" max="6402" width="20.140625" style="94" customWidth="1"/>
    <col min="6403" max="6403" width="15.85546875" style="94" bestFit="1" customWidth="1"/>
    <col min="6404" max="6404" width="16.85546875" style="94" customWidth="1"/>
    <col min="6405" max="6405" width="15.85546875" style="94" bestFit="1" customWidth="1"/>
    <col min="6406" max="6406" width="16.42578125" style="94" bestFit="1" customWidth="1"/>
    <col min="6407" max="6407" width="9.42578125" style="94" customWidth="1"/>
    <col min="6408" max="6408" width="17.7109375" style="94" customWidth="1"/>
    <col min="6409" max="6652" width="11.42578125" style="94"/>
    <col min="6653" max="6653" width="7.28515625" style="94" customWidth="1"/>
    <col min="6654" max="6654" width="44.5703125" style="94" bestFit="1" customWidth="1"/>
    <col min="6655" max="6655" width="14" style="94" customWidth="1"/>
    <col min="6656" max="6656" width="18.28515625" style="94" customWidth="1"/>
    <col min="6657" max="6657" width="17.7109375" style="94" customWidth="1"/>
    <col min="6658" max="6658" width="20.140625" style="94" customWidth="1"/>
    <col min="6659" max="6659" width="15.85546875" style="94" bestFit="1" customWidth="1"/>
    <col min="6660" max="6660" width="16.85546875" style="94" customWidth="1"/>
    <col min="6661" max="6661" width="15.85546875" style="94" bestFit="1" customWidth="1"/>
    <col min="6662" max="6662" width="16.42578125" style="94" bestFit="1" customWidth="1"/>
    <col min="6663" max="6663" width="9.42578125" style="94" customWidth="1"/>
    <col min="6664" max="6664" width="17.7109375" style="94" customWidth="1"/>
    <col min="6665" max="6908" width="11.42578125" style="94"/>
    <col min="6909" max="6909" width="7.28515625" style="94" customWidth="1"/>
    <col min="6910" max="6910" width="44.5703125" style="94" bestFit="1" customWidth="1"/>
    <col min="6911" max="6911" width="14" style="94" customWidth="1"/>
    <col min="6912" max="6912" width="18.28515625" style="94" customWidth="1"/>
    <col min="6913" max="6913" width="17.7109375" style="94" customWidth="1"/>
    <col min="6914" max="6914" width="20.140625" style="94" customWidth="1"/>
    <col min="6915" max="6915" width="15.85546875" style="94" bestFit="1" customWidth="1"/>
    <col min="6916" max="6916" width="16.85546875" style="94" customWidth="1"/>
    <col min="6917" max="6917" width="15.85546875" style="94" bestFit="1" customWidth="1"/>
    <col min="6918" max="6918" width="16.42578125" style="94" bestFit="1" customWidth="1"/>
    <col min="6919" max="6919" width="9.42578125" style="94" customWidth="1"/>
    <col min="6920" max="6920" width="17.7109375" style="94" customWidth="1"/>
    <col min="6921" max="7164" width="11.42578125" style="94"/>
    <col min="7165" max="7165" width="7.28515625" style="94" customWidth="1"/>
    <col min="7166" max="7166" width="44.5703125" style="94" bestFit="1" customWidth="1"/>
    <col min="7167" max="7167" width="14" style="94" customWidth="1"/>
    <col min="7168" max="7168" width="18.28515625" style="94" customWidth="1"/>
    <col min="7169" max="7169" width="17.7109375" style="94" customWidth="1"/>
    <col min="7170" max="7170" width="20.140625" style="94" customWidth="1"/>
    <col min="7171" max="7171" width="15.85546875" style="94" bestFit="1" customWidth="1"/>
    <col min="7172" max="7172" width="16.85546875" style="94" customWidth="1"/>
    <col min="7173" max="7173" width="15.85546875" style="94" bestFit="1" customWidth="1"/>
    <col min="7174" max="7174" width="16.42578125" style="94" bestFit="1" customWidth="1"/>
    <col min="7175" max="7175" width="9.42578125" style="94" customWidth="1"/>
    <col min="7176" max="7176" width="17.7109375" style="94" customWidth="1"/>
    <col min="7177" max="7420" width="11.42578125" style="94"/>
    <col min="7421" max="7421" width="7.28515625" style="94" customWidth="1"/>
    <col min="7422" max="7422" width="44.5703125" style="94" bestFit="1" customWidth="1"/>
    <col min="7423" max="7423" width="14" style="94" customWidth="1"/>
    <col min="7424" max="7424" width="18.28515625" style="94" customWidth="1"/>
    <col min="7425" max="7425" width="17.7109375" style="94" customWidth="1"/>
    <col min="7426" max="7426" width="20.140625" style="94" customWidth="1"/>
    <col min="7427" max="7427" width="15.85546875" style="94" bestFit="1" customWidth="1"/>
    <col min="7428" max="7428" width="16.85546875" style="94" customWidth="1"/>
    <col min="7429" max="7429" width="15.85546875" style="94" bestFit="1" customWidth="1"/>
    <col min="7430" max="7430" width="16.42578125" style="94" bestFit="1" customWidth="1"/>
    <col min="7431" max="7431" width="9.42578125" style="94" customWidth="1"/>
    <col min="7432" max="7432" width="17.7109375" style="94" customWidth="1"/>
    <col min="7433" max="7676" width="11.42578125" style="94"/>
    <col min="7677" max="7677" width="7.28515625" style="94" customWidth="1"/>
    <col min="7678" max="7678" width="44.5703125" style="94" bestFit="1" customWidth="1"/>
    <col min="7679" max="7679" width="14" style="94" customWidth="1"/>
    <col min="7680" max="7680" width="18.28515625" style="94" customWidth="1"/>
    <col min="7681" max="7681" width="17.7109375" style="94" customWidth="1"/>
    <col min="7682" max="7682" width="20.140625" style="94" customWidth="1"/>
    <col min="7683" max="7683" width="15.85546875" style="94" bestFit="1" customWidth="1"/>
    <col min="7684" max="7684" width="16.85546875" style="94" customWidth="1"/>
    <col min="7685" max="7685" width="15.85546875" style="94" bestFit="1" customWidth="1"/>
    <col min="7686" max="7686" width="16.42578125" style="94" bestFit="1" customWidth="1"/>
    <col min="7687" max="7687" width="9.42578125" style="94" customWidth="1"/>
    <col min="7688" max="7688" width="17.7109375" style="94" customWidth="1"/>
    <col min="7689" max="7932" width="11.42578125" style="94"/>
    <col min="7933" max="7933" width="7.28515625" style="94" customWidth="1"/>
    <col min="7934" max="7934" width="44.5703125" style="94" bestFit="1" customWidth="1"/>
    <col min="7935" max="7935" width="14" style="94" customWidth="1"/>
    <col min="7936" max="7936" width="18.28515625" style="94" customWidth="1"/>
    <col min="7937" max="7937" width="17.7109375" style="94" customWidth="1"/>
    <col min="7938" max="7938" width="20.140625" style="94" customWidth="1"/>
    <col min="7939" max="7939" width="15.85546875" style="94" bestFit="1" customWidth="1"/>
    <col min="7940" max="7940" width="16.85546875" style="94" customWidth="1"/>
    <col min="7941" max="7941" width="15.85546875" style="94" bestFit="1" customWidth="1"/>
    <col min="7942" max="7942" width="16.42578125" style="94" bestFit="1" customWidth="1"/>
    <col min="7943" max="7943" width="9.42578125" style="94" customWidth="1"/>
    <col min="7944" max="7944" width="17.7109375" style="94" customWidth="1"/>
    <col min="7945" max="8188" width="11.42578125" style="94"/>
    <col min="8189" max="8189" width="7.28515625" style="94" customWidth="1"/>
    <col min="8190" max="8190" width="44.5703125" style="94" bestFit="1" customWidth="1"/>
    <col min="8191" max="8191" width="14" style="94" customWidth="1"/>
    <col min="8192" max="8192" width="18.28515625" style="94" customWidth="1"/>
    <col min="8193" max="8193" width="17.7109375" style="94" customWidth="1"/>
    <col min="8194" max="8194" width="20.140625" style="94" customWidth="1"/>
    <col min="8195" max="8195" width="15.85546875" style="94" bestFit="1" customWidth="1"/>
    <col min="8196" max="8196" width="16.85546875" style="94" customWidth="1"/>
    <col min="8197" max="8197" width="15.85546875" style="94" bestFit="1" customWidth="1"/>
    <col min="8198" max="8198" width="16.42578125" style="94" bestFit="1" customWidth="1"/>
    <col min="8199" max="8199" width="9.42578125" style="94" customWidth="1"/>
    <col min="8200" max="8200" width="17.7109375" style="94" customWidth="1"/>
    <col min="8201" max="8444" width="11.42578125" style="94"/>
    <col min="8445" max="8445" width="7.28515625" style="94" customWidth="1"/>
    <col min="8446" max="8446" width="44.5703125" style="94" bestFit="1" customWidth="1"/>
    <col min="8447" max="8447" width="14" style="94" customWidth="1"/>
    <col min="8448" max="8448" width="18.28515625" style="94" customWidth="1"/>
    <col min="8449" max="8449" width="17.7109375" style="94" customWidth="1"/>
    <col min="8450" max="8450" width="20.140625" style="94" customWidth="1"/>
    <col min="8451" max="8451" width="15.85546875" style="94" bestFit="1" customWidth="1"/>
    <col min="8452" max="8452" width="16.85546875" style="94" customWidth="1"/>
    <col min="8453" max="8453" width="15.85546875" style="94" bestFit="1" customWidth="1"/>
    <col min="8454" max="8454" width="16.42578125" style="94" bestFit="1" customWidth="1"/>
    <col min="8455" max="8455" width="9.42578125" style="94" customWidth="1"/>
    <col min="8456" max="8456" width="17.7109375" style="94" customWidth="1"/>
    <col min="8457" max="8700" width="11.42578125" style="94"/>
    <col min="8701" max="8701" width="7.28515625" style="94" customWidth="1"/>
    <col min="8702" max="8702" width="44.5703125" style="94" bestFit="1" customWidth="1"/>
    <col min="8703" max="8703" width="14" style="94" customWidth="1"/>
    <col min="8704" max="8704" width="18.28515625" style="94" customWidth="1"/>
    <col min="8705" max="8705" width="17.7109375" style="94" customWidth="1"/>
    <col min="8706" max="8706" width="20.140625" style="94" customWidth="1"/>
    <col min="8707" max="8707" width="15.85546875" style="94" bestFit="1" customWidth="1"/>
    <col min="8708" max="8708" width="16.85546875" style="94" customWidth="1"/>
    <col min="8709" max="8709" width="15.85546875" style="94" bestFit="1" customWidth="1"/>
    <col min="8710" max="8710" width="16.42578125" style="94" bestFit="1" customWidth="1"/>
    <col min="8711" max="8711" width="9.42578125" style="94" customWidth="1"/>
    <col min="8712" max="8712" width="17.7109375" style="94" customWidth="1"/>
    <col min="8713" max="8956" width="11.42578125" style="94"/>
    <col min="8957" max="8957" width="7.28515625" style="94" customWidth="1"/>
    <col min="8958" max="8958" width="44.5703125" style="94" bestFit="1" customWidth="1"/>
    <col min="8959" max="8959" width="14" style="94" customWidth="1"/>
    <col min="8960" max="8960" width="18.28515625" style="94" customWidth="1"/>
    <col min="8961" max="8961" width="17.7109375" style="94" customWidth="1"/>
    <col min="8962" max="8962" width="20.140625" style="94" customWidth="1"/>
    <col min="8963" max="8963" width="15.85546875" style="94" bestFit="1" customWidth="1"/>
    <col min="8964" max="8964" width="16.85546875" style="94" customWidth="1"/>
    <col min="8965" max="8965" width="15.85546875" style="94" bestFit="1" customWidth="1"/>
    <col min="8966" max="8966" width="16.42578125" style="94" bestFit="1" customWidth="1"/>
    <col min="8967" max="8967" width="9.42578125" style="94" customWidth="1"/>
    <col min="8968" max="8968" width="17.7109375" style="94" customWidth="1"/>
    <col min="8969" max="9212" width="11.42578125" style="94"/>
    <col min="9213" max="9213" width="7.28515625" style="94" customWidth="1"/>
    <col min="9214" max="9214" width="44.5703125" style="94" bestFit="1" customWidth="1"/>
    <col min="9215" max="9215" width="14" style="94" customWidth="1"/>
    <col min="9216" max="9216" width="18.28515625" style="94" customWidth="1"/>
    <col min="9217" max="9217" width="17.7109375" style="94" customWidth="1"/>
    <col min="9218" max="9218" width="20.140625" style="94" customWidth="1"/>
    <col min="9219" max="9219" width="15.85546875" style="94" bestFit="1" customWidth="1"/>
    <col min="9220" max="9220" width="16.85546875" style="94" customWidth="1"/>
    <col min="9221" max="9221" width="15.85546875" style="94" bestFit="1" customWidth="1"/>
    <col min="9222" max="9222" width="16.42578125" style="94" bestFit="1" customWidth="1"/>
    <col min="9223" max="9223" width="9.42578125" style="94" customWidth="1"/>
    <col min="9224" max="9224" width="17.7109375" style="94" customWidth="1"/>
    <col min="9225" max="9468" width="11.42578125" style="94"/>
    <col min="9469" max="9469" width="7.28515625" style="94" customWidth="1"/>
    <col min="9470" max="9470" width="44.5703125" style="94" bestFit="1" customWidth="1"/>
    <col min="9471" max="9471" width="14" style="94" customWidth="1"/>
    <col min="9472" max="9472" width="18.28515625" style="94" customWidth="1"/>
    <col min="9473" max="9473" width="17.7109375" style="94" customWidth="1"/>
    <col min="9474" max="9474" width="20.140625" style="94" customWidth="1"/>
    <col min="9475" max="9475" width="15.85546875" style="94" bestFit="1" customWidth="1"/>
    <col min="9476" max="9476" width="16.85546875" style="94" customWidth="1"/>
    <col min="9477" max="9477" width="15.85546875" style="94" bestFit="1" customWidth="1"/>
    <col min="9478" max="9478" width="16.42578125" style="94" bestFit="1" customWidth="1"/>
    <col min="9479" max="9479" width="9.42578125" style="94" customWidth="1"/>
    <col min="9480" max="9480" width="17.7109375" style="94" customWidth="1"/>
    <col min="9481" max="9724" width="11.42578125" style="94"/>
    <col min="9725" max="9725" width="7.28515625" style="94" customWidth="1"/>
    <col min="9726" max="9726" width="44.5703125" style="94" bestFit="1" customWidth="1"/>
    <col min="9727" max="9727" width="14" style="94" customWidth="1"/>
    <col min="9728" max="9728" width="18.28515625" style="94" customWidth="1"/>
    <col min="9729" max="9729" width="17.7109375" style="94" customWidth="1"/>
    <col min="9730" max="9730" width="20.140625" style="94" customWidth="1"/>
    <col min="9731" max="9731" width="15.85546875" style="94" bestFit="1" customWidth="1"/>
    <col min="9732" max="9732" width="16.85546875" style="94" customWidth="1"/>
    <col min="9733" max="9733" width="15.85546875" style="94" bestFit="1" customWidth="1"/>
    <col min="9734" max="9734" width="16.42578125" style="94" bestFit="1" customWidth="1"/>
    <col min="9735" max="9735" width="9.42578125" style="94" customWidth="1"/>
    <col min="9736" max="9736" width="17.7109375" style="94" customWidth="1"/>
    <col min="9737" max="9980" width="11.42578125" style="94"/>
    <col min="9981" max="9981" width="7.28515625" style="94" customWidth="1"/>
    <col min="9982" max="9982" width="44.5703125" style="94" bestFit="1" customWidth="1"/>
    <col min="9983" max="9983" width="14" style="94" customWidth="1"/>
    <col min="9984" max="9984" width="18.28515625" style="94" customWidth="1"/>
    <col min="9985" max="9985" width="17.7109375" style="94" customWidth="1"/>
    <col min="9986" max="9986" width="20.140625" style="94" customWidth="1"/>
    <col min="9987" max="9987" width="15.85546875" style="94" bestFit="1" customWidth="1"/>
    <col min="9988" max="9988" width="16.85546875" style="94" customWidth="1"/>
    <col min="9989" max="9989" width="15.85546875" style="94" bestFit="1" customWidth="1"/>
    <col min="9990" max="9990" width="16.42578125" style="94" bestFit="1" customWidth="1"/>
    <col min="9991" max="9991" width="9.42578125" style="94" customWidth="1"/>
    <col min="9992" max="9992" width="17.7109375" style="94" customWidth="1"/>
    <col min="9993" max="10236" width="11.42578125" style="94"/>
    <col min="10237" max="10237" width="7.28515625" style="94" customWidth="1"/>
    <col min="10238" max="10238" width="44.5703125" style="94" bestFit="1" customWidth="1"/>
    <col min="10239" max="10239" width="14" style="94" customWidth="1"/>
    <col min="10240" max="10240" width="18.28515625" style="94" customWidth="1"/>
    <col min="10241" max="10241" width="17.7109375" style="94" customWidth="1"/>
    <col min="10242" max="10242" width="20.140625" style="94" customWidth="1"/>
    <col min="10243" max="10243" width="15.85546875" style="94" bestFit="1" customWidth="1"/>
    <col min="10244" max="10244" width="16.85546875" style="94" customWidth="1"/>
    <col min="10245" max="10245" width="15.85546875" style="94" bestFit="1" customWidth="1"/>
    <col min="10246" max="10246" width="16.42578125" style="94" bestFit="1" customWidth="1"/>
    <col min="10247" max="10247" width="9.42578125" style="94" customWidth="1"/>
    <col min="10248" max="10248" width="17.7109375" style="94" customWidth="1"/>
    <col min="10249" max="10492" width="11.42578125" style="94"/>
    <col min="10493" max="10493" width="7.28515625" style="94" customWidth="1"/>
    <col min="10494" max="10494" width="44.5703125" style="94" bestFit="1" customWidth="1"/>
    <col min="10495" max="10495" width="14" style="94" customWidth="1"/>
    <col min="10496" max="10496" width="18.28515625" style="94" customWidth="1"/>
    <col min="10497" max="10497" width="17.7109375" style="94" customWidth="1"/>
    <col min="10498" max="10498" width="20.140625" style="94" customWidth="1"/>
    <col min="10499" max="10499" width="15.85546875" style="94" bestFit="1" customWidth="1"/>
    <col min="10500" max="10500" width="16.85546875" style="94" customWidth="1"/>
    <col min="10501" max="10501" width="15.85546875" style="94" bestFit="1" customWidth="1"/>
    <col min="10502" max="10502" width="16.42578125" style="94" bestFit="1" customWidth="1"/>
    <col min="10503" max="10503" width="9.42578125" style="94" customWidth="1"/>
    <col min="10504" max="10504" width="17.7109375" style="94" customWidth="1"/>
    <col min="10505" max="10748" width="11.42578125" style="94"/>
    <col min="10749" max="10749" width="7.28515625" style="94" customWidth="1"/>
    <col min="10750" max="10750" width="44.5703125" style="94" bestFit="1" customWidth="1"/>
    <col min="10751" max="10751" width="14" style="94" customWidth="1"/>
    <col min="10752" max="10752" width="18.28515625" style="94" customWidth="1"/>
    <col min="10753" max="10753" width="17.7109375" style="94" customWidth="1"/>
    <col min="10754" max="10754" width="20.140625" style="94" customWidth="1"/>
    <col min="10755" max="10755" width="15.85546875" style="94" bestFit="1" customWidth="1"/>
    <col min="10756" max="10756" width="16.85546875" style="94" customWidth="1"/>
    <col min="10757" max="10757" width="15.85546875" style="94" bestFit="1" customWidth="1"/>
    <col min="10758" max="10758" width="16.42578125" style="94" bestFit="1" customWidth="1"/>
    <col min="10759" max="10759" width="9.42578125" style="94" customWidth="1"/>
    <col min="10760" max="10760" width="17.7109375" style="94" customWidth="1"/>
    <col min="10761" max="11004" width="11.42578125" style="94"/>
    <col min="11005" max="11005" width="7.28515625" style="94" customWidth="1"/>
    <col min="11006" max="11006" width="44.5703125" style="94" bestFit="1" customWidth="1"/>
    <col min="11007" max="11007" width="14" style="94" customWidth="1"/>
    <col min="11008" max="11008" width="18.28515625" style="94" customWidth="1"/>
    <col min="11009" max="11009" width="17.7109375" style="94" customWidth="1"/>
    <col min="11010" max="11010" width="20.140625" style="94" customWidth="1"/>
    <col min="11011" max="11011" width="15.85546875" style="94" bestFit="1" customWidth="1"/>
    <col min="11012" max="11012" width="16.85546875" style="94" customWidth="1"/>
    <col min="11013" max="11013" width="15.85546875" style="94" bestFit="1" customWidth="1"/>
    <col min="11014" max="11014" width="16.42578125" style="94" bestFit="1" customWidth="1"/>
    <col min="11015" max="11015" width="9.42578125" style="94" customWidth="1"/>
    <col min="11016" max="11016" width="17.7109375" style="94" customWidth="1"/>
    <col min="11017" max="11260" width="11.42578125" style="94"/>
    <col min="11261" max="11261" width="7.28515625" style="94" customWidth="1"/>
    <col min="11262" max="11262" width="44.5703125" style="94" bestFit="1" customWidth="1"/>
    <col min="11263" max="11263" width="14" style="94" customWidth="1"/>
    <col min="11264" max="11264" width="18.28515625" style="94" customWidth="1"/>
    <col min="11265" max="11265" width="17.7109375" style="94" customWidth="1"/>
    <col min="11266" max="11266" width="20.140625" style="94" customWidth="1"/>
    <col min="11267" max="11267" width="15.85546875" style="94" bestFit="1" customWidth="1"/>
    <col min="11268" max="11268" width="16.85546875" style="94" customWidth="1"/>
    <col min="11269" max="11269" width="15.85546875" style="94" bestFit="1" customWidth="1"/>
    <col min="11270" max="11270" width="16.42578125" style="94" bestFit="1" customWidth="1"/>
    <col min="11271" max="11271" width="9.42578125" style="94" customWidth="1"/>
    <col min="11272" max="11272" width="17.7109375" style="94" customWidth="1"/>
    <col min="11273" max="11516" width="11.42578125" style="94"/>
    <col min="11517" max="11517" width="7.28515625" style="94" customWidth="1"/>
    <col min="11518" max="11518" width="44.5703125" style="94" bestFit="1" customWidth="1"/>
    <col min="11519" max="11519" width="14" style="94" customWidth="1"/>
    <col min="11520" max="11520" width="18.28515625" style="94" customWidth="1"/>
    <col min="11521" max="11521" width="17.7109375" style="94" customWidth="1"/>
    <col min="11522" max="11522" width="20.140625" style="94" customWidth="1"/>
    <col min="11523" max="11523" width="15.85546875" style="94" bestFit="1" customWidth="1"/>
    <col min="11524" max="11524" width="16.85546875" style="94" customWidth="1"/>
    <col min="11525" max="11525" width="15.85546875" style="94" bestFit="1" customWidth="1"/>
    <col min="11526" max="11526" width="16.42578125" style="94" bestFit="1" customWidth="1"/>
    <col min="11527" max="11527" width="9.42578125" style="94" customWidth="1"/>
    <col min="11528" max="11528" width="17.7109375" style="94" customWidth="1"/>
    <col min="11529" max="11772" width="11.42578125" style="94"/>
    <col min="11773" max="11773" width="7.28515625" style="94" customWidth="1"/>
    <col min="11774" max="11774" width="44.5703125" style="94" bestFit="1" customWidth="1"/>
    <col min="11775" max="11775" width="14" style="94" customWidth="1"/>
    <col min="11776" max="11776" width="18.28515625" style="94" customWidth="1"/>
    <col min="11777" max="11777" width="17.7109375" style="94" customWidth="1"/>
    <col min="11778" max="11778" width="20.140625" style="94" customWidth="1"/>
    <col min="11779" max="11779" width="15.85546875" style="94" bestFit="1" customWidth="1"/>
    <col min="11780" max="11780" width="16.85546875" style="94" customWidth="1"/>
    <col min="11781" max="11781" width="15.85546875" style="94" bestFit="1" customWidth="1"/>
    <col min="11782" max="11782" width="16.42578125" style="94" bestFit="1" customWidth="1"/>
    <col min="11783" max="11783" width="9.42578125" style="94" customWidth="1"/>
    <col min="11784" max="11784" width="17.7109375" style="94" customWidth="1"/>
    <col min="11785" max="12028" width="11.42578125" style="94"/>
    <col min="12029" max="12029" width="7.28515625" style="94" customWidth="1"/>
    <col min="12030" max="12030" width="44.5703125" style="94" bestFit="1" customWidth="1"/>
    <col min="12031" max="12031" width="14" style="94" customWidth="1"/>
    <col min="12032" max="12032" width="18.28515625" style="94" customWidth="1"/>
    <col min="12033" max="12033" width="17.7109375" style="94" customWidth="1"/>
    <col min="12034" max="12034" width="20.140625" style="94" customWidth="1"/>
    <col min="12035" max="12035" width="15.85546875" style="94" bestFit="1" customWidth="1"/>
    <col min="12036" max="12036" width="16.85546875" style="94" customWidth="1"/>
    <col min="12037" max="12037" width="15.85546875" style="94" bestFit="1" customWidth="1"/>
    <col min="12038" max="12038" width="16.42578125" style="94" bestFit="1" customWidth="1"/>
    <col min="12039" max="12039" width="9.42578125" style="94" customWidth="1"/>
    <col min="12040" max="12040" width="17.7109375" style="94" customWidth="1"/>
    <col min="12041" max="12284" width="11.42578125" style="94"/>
    <col min="12285" max="12285" width="7.28515625" style="94" customWidth="1"/>
    <col min="12286" max="12286" width="44.5703125" style="94" bestFit="1" customWidth="1"/>
    <col min="12287" max="12287" width="14" style="94" customWidth="1"/>
    <col min="12288" max="12288" width="18.28515625" style="94" customWidth="1"/>
    <col min="12289" max="12289" width="17.7109375" style="94" customWidth="1"/>
    <col min="12290" max="12290" width="20.140625" style="94" customWidth="1"/>
    <col min="12291" max="12291" width="15.85546875" style="94" bestFit="1" customWidth="1"/>
    <col min="12292" max="12292" width="16.85546875" style="94" customWidth="1"/>
    <col min="12293" max="12293" width="15.85546875" style="94" bestFit="1" customWidth="1"/>
    <col min="12294" max="12294" width="16.42578125" style="94" bestFit="1" customWidth="1"/>
    <col min="12295" max="12295" width="9.42578125" style="94" customWidth="1"/>
    <col min="12296" max="12296" width="17.7109375" style="94" customWidth="1"/>
    <col min="12297" max="12540" width="11.42578125" style="94"/>
    <col min="12541" max="12541" width="7.28515625" style="94" customWidth="1"/>
    <col min="12542" max="12542" width="44.5703125" style="94" bestFit="1" customWidth="1"/>
    <col min="12543" max="12543" width="14" style="94" customWidth="1"/>
    <col min="12544" max="12544" width="18.28515625" style="94" customWidth="1"/>
    <col min="12545" max="12545" width="17.7109375" style="94" customWidth="1"/>
    <col min="12546" max="12546" width="20.140625" style="94" customWidth="1"/>
    <col min="12547" max="12547" width="15.85546875" style="94" bestFit="1" customWidth="1"/>
    <col min="12548" max="12548" width="16.85546875" style="94" customWidth="1"/>
    <col min="12549" max="12549" width="15.85546875" style="94" bestFit="1" customWidth="1"/>
    <col min="12550" max="12550" width="16.42578125" style="94" bestFit="1" customWidth="1"/>
    <col min="12551" max="12551" width="9.42578125" style="94" customWidth="1"/>
    <col min="12552" max="12552" width="17.7109375" style="94" customWidth="1"/>
    <col min="12553" max="12796" width="11.42578125" style="94"/>
    <col min="12797" max="12797" width="7.28515625" style="94" customWidth="1"/>
    <col min="12798" max="12798" width="44.5703125" style="94" bestFit="1" customWidth="1"/>
    <col min="12799" max="12799" width="14" style="94" customWidth="1"/>
    <col min="12800" max="12800" width="18.28515625" style="94" customWidth="1"/>
    <col min="12801" max="12801" width="17.7109375" style="94" customWidth="1"/>
    <col min="12802" max="12802" width="20.140625" style="94" customWidth="1"/>
    <col min="12803" max="12803" width="15.85546875" style="94" bestFit="1" customWidth="1"/>
    <col min="12804" max="12804" width="16.85546875" style="94" customWidth="1"/>
    <col min="12805" max="12805" width="15.85546875" style="94" bestFit="1" customWidth="1"/>
    <col min="12806" max="12806" width="16.42578125" style="94" bestFit="1" customWidth="1"/>
    <col min="12807" max="12807" width="9.42578125" style="94" customWidth="1"/>
    <col min="12808" max="12808" width="17.7109375" style="94" customWidth="1"/>
    <col min="12809" max="13052" width="11.42578125" style="94"/>
    <col min="13053" max="13053" width="7.28515625" style="94" customWidth="1"/>
    <col min="13054" max="13054" width="44.5703125" style="94" bestFit="1" customWidth="1"/>
    <col min="13055" max="13055" width="14" style="94" customWidth="1"/>
    <col min="13056" max="13056" width="18.28515625" style="94" customWidth="1"/>
    <col min="13057" max="13057" width="17.7109375" style="94" customWidth="1"/>
    <col min="13058" max="13058" width="20.140625" style="94" customWidth="1"/>
    <col min="13059" max="13059" width="15.85546875" style="94" bestFit="1" customWidth="1"/>
    <col min="13060" max="13060" width="16.85546875" style="94" customWidth="1"/>
    <col min="13061" max="13061" width="15.85546875" style="94" bestFit="1" customWidth="1"/>
    <col min="13062" max="13062" width="16.42578125" style="94" bestFit="1" customWidth="1"/>
    <col min="13063" max="13063" width="9.42578125" style="94" customWidth="1"/>
    <col min="13064" max="13064" width="17.7109375" style="94" customWidth="1"/>
    <col min="13065" max="13308" width="11.42578125" style="94"/>
    <col min="13309" max="13309" width="7.28515625" style="94" customWidth="1"/>
    <col min="13310" max="13310" width="44.5703125" style="94" bestFit="1" customWidth="1"/>
    <col min="13311" max="13311" width="14" style="94" customWidth="1"/>
    <col min="13312" max="13312" width="18.28515625" style="94" customWidth="1"/>
    <col min="13313" max="13313" width="17.7109375" style="94" customWidth="1"/>
    <col min="13314" max="13314" width="20.140625" style="94" customWidth="1"/>
    <col min="13315" max="13315" width="15.85546875" style="94" bestFit="1" customWidth="1"/>
    <col min="13316" max="13316" width="16.85546875" style="94" customWidth="1"/>
    <col min="13317" max="13317" width="15.85546875" style="94" bestFit="1" customWidth="1"/>
    <col min="13318" max="13318" width="16.42578125" style="94" bestFit="1" customWidth="1"/>
    <col min="13319" max="13319" width="9.42578125" style="94" customWidth="1"/>
    <col min="13320" max="13320" width="17.7109375" style="94" customWidth="1"/>
    <col min="13321" max="13564" width="11.42578125" style="94"/>
    <col min="13565" max="13565" width="7.28515625" style="94" customWidth="1"/>
    <col min="13566" max="13566" width="44.5703125" style="94" bestFit="1" customWidth="1"/>
    <col min="13567" max="13567" width="14" style="94" customWidth="1"/>
    <col min="13568" max="13568" width="18.28515625" style="94" customWidth="1"/>
    <col min="13569" max="13569" width="17.7109375" style="94" customWidth="1"/>
    <col min="13570" max="13570" width="20.140625" style="94" customWidth="1"/>
    <col min="13571" max="13571" width="15.85546875" style="94" bestFit="1" customWidth="1"/>
    <col min="13572" max="13572" width="16.85546875" style="94" customWidth="1"/>
    <col min="13573" max="13573" width="15.85546875" style="94" bestFit="1" customWidth="1"/>
    <col min="13574" max="13574" width="16.42578125" style="94" bestFit="1" customWidth="1"/>
    <col min="13575" max="13575" width="9.42578125" style="94" customWidth="1"/>
    <col min="13576" max="13576" width="17.7109375" style="94" customWidth="1"/>
    <col min="13577" max="13820" width="11.42578125" style="94"/>
    <col min="13821" max="13821" width="7.28515625" style="94" customWidth="1"/>
    <col min="13822" max="13822" width="44.5703125" style="94" bestFit="1" customWidth="1"/>
    <col min="13823" max="13823" width="14" style="94" customWidth="1"/>
    <col min="13824" max="13824" width="18.28515625" style="94" customWidth="1"/>
    <col min="13825" max="13825" width="17.7109375" style="94" customWidth="1"/>
    <col min="13826" max="13826" width="20.140625" style="94" customWidth="1"/>
    <col min="13827" max="13827" width="15.85546875" style="94" bestFit="1" customWidth="1"/>
    <col min="13828" max="13828" width="16.85546875" style="94" customWidth="1"/>
    <col min="13829" max="13829" width="15.85546875" style="94" bestFit="1" customWidth="1"/>
    <col min="13830" max="13830" width="16.42578125" style="94" bestFit="1" customWidth="1"/>
    <col min="13831" max="13831" width="9.42578125" style="94" customWidth="1"/>
    <col min="13832" max="13832" width="17.7109375" style="94" customWidth="1"/>
    <col min="13833" max="14076" width="11.42578125" style="94"/>
    <col min="14077" max="14077" width="7.28515625" style="94" customWidth="1"/>
    <col min="14078" max="14078" width="44.5703125" style="94" bestFit="1" customWidth="1"/>
    <col min="14079" max="14079" width="14" style="94" customWidth="1"/>
    <col min="14080" max="14080" width="18.28515625" style="94" customWidth="1"/>
    <col min="14081" max="14081" width="17.7109375" style="94" customWidth="1"/>
    <col min="14082" max="14082" width="20.140625" style="94" customWidth="1"/>
    <col min="14083" max="14083" width="15.85546875" style="94" bestFit="1" customWidth="1"/>
    <col min="14084" max="14084" width="16.85546875" style="94" customWidth="1"/>
    <col min="14085" max="14085" width="15.85546875" style="94" bestFit="1" customWidth="1"/>
    <col min="14086" max="14086" width="16.42578125" style="94" bestFit="1" customWidth="1"/>
    <col min="14087" max="14087" width="9.42578125" style="94" customWidth="1"/>
    <col min="14088" max="14088" width="17.7109375" style="94" customWidth="1"/>
    <col min="14089" max="14332" width="11.42578125" style="94"/>
    <col min="14333" max="14333" width="7.28515625" style="94" customWidth="1"/>
    <col min="14334" max="14334" width="44.5703125" style="94" bestFit="1" customWidth="1"/>
    <col min="14335" max="14335" width="14" style="94" customWidth="1"/>
    <col min="14336" max="14336" width="18.28515625" style="94" customWidth="1"/>
    <col min="14337" max="14337" width="17.7109375" style="94" customWidth="1"/>
    <col min="14338" max="14338" width="20.140625" style="94" customWidth="1"/>
    <col min="14339" max="14339" width="15.85546875" style="94" bestFit="1" customWidth="1"/>
    <col min="14340" max="14340" width="16.85546875" style="94" customWidth="1"/>
    <col min="14341" max="14341" width="15.85546875" style="94" bestFit="1" customWidth="1"/>
    <col min="14342" max="14342" width="16.42578125" style="94" bestFit="1" customWidth="1"/>
    <col min="14343" max="14343" width="9.42578125" style="94" customWidth="1"/>
    <col min="14344" max="14344" width="17.7109375" style="94" customWidth="1"/>
    <col min="14345" max="14588" width="11.42578125" style="94"/>
    <col min="14589" max="14589" width="7.28515625" style="94" customWidth="1"/>
    <col min="14590" max="14590" width="44.5703125" style="94" bestFit="1" customWidth="1"/>
    <col min="14591" max="14591" width="14" style="94" customWidth="1"/>
    <col min="14592" max="14592" width="18.28515625" style="94" customWidth="1"/>
    <col min="14593" max="14593" width="17.7109375" style="94" customWidth="1"/>
    <col min="14594" max="14594" width="20.140625" style="94" customWidth="1"/>
    <col min="14595" max="14595" width="15.85546875" style="94" bestFit="1" customWidth="1"/>
    <col min="14596" max="14596" width="16.85546875" style="94" customWidth="1"/>
    <col min="14597" max="14597" width="15.85546875" style="94" bestFit="1" customWidth="1"/>
    <col min="14598" max="14598" width="16.42578125" style="94" bestFit="1" customWidth="1"/>
    <col min="14599" max="14599" width="9.42578125" style="94" customWidth="1"/>
    <col min="14600" max="14600" width="17.7109375" style="94" customWidth="1"/>
    <col min="14601" max="14844" width="11.42578125" style="94"/>
    <col min="14845" max="14845" width="7.28515625" style="94" customWidth="1"/>
    <col min="14846" max="14846" width="44.5703125" style="94" bestFit="1" customWidth="1"/>
    <col min="14847" max="14847" width="14" style="94" customWidth="1"/>
    <col min="14848" max="14848" width="18.28515625" style="94" customWidth="1"/>
    <col min="14849" max="14849" width="17.7109375" style="94" customWidth="1"/>
    <col min="14850" max="14850" width="20.140625" style="94" customWidth="1"/>
    <col min="14851" max="14851" width="15.85546875" style="94" bestFit="1" customWidth="1"/>
    <col min="14852" max="14852" width="16.85546875" style="94" customWidth="1"/>
    <col min="14853" max="14853" width="15.85546875" style="94" bestFit="1" customWidth="1"/>
    <col min="14854" max="14854" width="16.42578125" style="94" bestFit="1" customWidth="1"/>
    <col min="14855" max="14855" width="9.42578125" style="94" customWidth="1"/>
    <col min="14856" max="14856" width="17.7109375" style="94" customWidth="1"/>
    <col min="14857" max="15100" width="11.42578125" style="94"/>
    <col min="15101" max="15101" width="7.28515625" style="94" customWidth="1"/>
    <col min="15102" max="15102" width="44.5703125" style="94" bestFit="1" customWidth="1"/>
    <col min="15103" max="15103" width="14" style="94" customWidth="1"/>
    <col min="15104" max="15104" width="18.28515625" style="94" customWidth="1"/>
    <col min="15105" max="15105" width="17.7109375" style="94" customWidth="1"/>
    <col min="15106" max="15106" width="20.140625" style="94" customWidth="1"/>
    <col min="15107" max="15107" width="15.85546875" style="94" bestFit="1" customWidth="1"/>
    <col min="15108" max="15108" width="16.85546875" style="94" customWidth="1"/>
    <col min="15109" max="15109" width="15.85546875" style="94" bestFit="1" customWidth="1"/>
    <col min="15110" max="15110" width="16.42578125" style="94" bestFit="1" customWidth="1"/>
    <col min="15111" max="15111" width="9.42578125" style="94" customWidth="1"/>
    <col min="15112" max="15112" width="17.7109375" style="94" customWidth="1"/>
    <col min="15113" max="15356" width="11.42578125" style="94"/>
    <col min="15357" max="15357" width="7.28515625" style="94" customWidth="1"/>
    <col min="15358" max="15358" width="44.5703125" style="94" bestFit="1" customWidth="1"/>
    <col min="15359" max="15359" width="14" style="94" customWidth="1"/>
    <col min="15360" max="15360" width="18.28515625" style="94" customWidth="1"/>
    <col min="15361" max="15361" width="17.7109375" style="94" customWidth="1"/>
    <col min="15362" max="15362" width="20.140625" style="94" customWidth="1"/>
    <col min="15363" max="15363" width="15.85546875" style="94" bestFit="1" customWidth="1"/>
    <col min="15364" max="15364" width="16.85546875" style="94" customWidth="1"/>
    <col min="15365" max="15365" width="15.85546875" style="94" bestFit="1" customWidth="1"/>
    <col min="15366" max="15366" width="16.42578125" style="94" bestFit="1" customWidth="1"/>
    <col min="15367" max="15367" width="9.42578125" style="94" customWidth="1"/>
    <col min="15368" max="15368" width="17.7109375" style="94" customWidth="1"/>
    <col min="15369" max="15612" width="11.42578125" style="94"/>
    <col min="15613" max="15613" width="7.28515625" style="94" customWidth="1"/>
    <col min="15614" max="15614" width="44.5703125" style="94" bestFit="1" customWidth="1"/>
    <col min="15615" max="15615" width="14" style="94" customWidth="1"/>
    <col min="15616" max="15616" width="18.28515625" style="94" customWidth="1"/>
    <col min="15617" max="15617" width="17.7109375" style="94" customWidth="1"/>
    <col min="15618" max="15618" width="20.140625" style="94" customWidth="1"/>
    <col min="15619" max="15619" width="15.85546875" style="94" bestFit="1" customWidth="1"/>
    <col min="15620" max="15620" width="16.85546875" style="94" customWidth="1"/>
    <col min="15621" max="15621" width="15.85546875" style="94" bestFit="1" customWidth="1"/>
    <col min="15622" max="15622" width="16.42578125" style="94" bestFit="1" customWidth="1"/>
    <col min="15623" max="15623" width="9.42578125" style="94" customWidth="1"/>
    <col min="15624" max="15624" width="17.7109375" style="94" customWidth="1"/>
    <col min="15625" max="15868" width="11.42578125" style="94"/>
    <col min="15869" max="15869" width="7.28515625" style="94" customWidth="1"/>
    <col min="15870" max="15870" width="44.5703125" style="94" bestFit="1" customWidth="1"/>
    <col min="15871" max="15871" width="14" style="94" customWidth="1"/>
    <col min="15872" max="15872" width="18.28515625" style="94" customWidth="1"/>
    <col min="15873" max="15873" width="17.7109375" style="94" customWidth="1"/>
    <col min="15874" max="15874" width="20.140625" style="94" customWidth="1"/>
    <col min="15875" max="15875" width="15.85546875" style="94" bestFit="1" customWidth="1"/>
    <col min="15876" max="15876" width="16.85546875" style="94" customWidth="1"/>
    <col min="15877" max="15877" width="15.85546875" style="94" bestFit="1" customWidth="1"/>
    <col min="15878" max="15878" width="16.42578125" style="94" bestFit="1" customWidth="1"/>
    <col min="15879" max="15879" width="9.42578125" style="94" customWidth="1"/>
    <col min="15880" max="15880" width="17.7109375" style="94" customWidth="1"/>
    <col min="15881" max="16124" width="11.42578125" style="94"/>
    <col min="16125" max="16125" width="7.28515625" style="94" customWidth="1"/>
    <col min="16126" max="16126" width="44.5703125" style="94" bestFit="1" customWidth="1"/>
    <col min="16127" max="16127" width="14" style="94" customWidth="1"/>
    <col min="16128" max="16128" width="18.28515625" style="94" customWidth="1"/>
    <col min="16129" max="16129" width="17.7109375" style="94" customWidth="1"/>
    <col min="16130" max="16130" width="20.140625" style="94" customWidth="1"/>
    <col min="16131" max="16131" width="15.85546875" style="94" bestFit="1" customWidth="1"/>
    <col min="16132" max="16132" width="16.85546875" style="94" customWidth="1"/>
    <col min="16133" max="16133" width="15.85546875" style="94" bestFit="1" customWidth="1"/>
    <col min="16134" max="16134" width="16.42578125" style="94" bestFit="1" customWidth="1"/>
    <col min="16135" max="16135" width="9.42578125" style="94" customWidth="1"/>
    <col min="16136" max="16136" width="17.7109375" style="94" customWidth="1"/>
    <col min="16137" max="16384" width="11.42578125" style="94"/>
  </cols>
  <sheetData>
    <row r="1" spans="1:10" x14ac:dyDescent="0.2">
      <c r="A1" s="277"/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2">
      <c r="A2" s="277"/>
      <c r="B2" s="277" t="s">
        <v>30</v>
      </c>
      <c r="C2" s="277"/>
      <c r="D2" s="277"/>
      <c r="E2" s="277"/>
      <c r="F2" s="277"/>
      <c r="G2" s="277"/>
      <c r="H2" s="277"/>
      <c r="I2" s="277"/>
      <c r="J2" s="277"/>
    </row>
    <row r="3" spans="1:10" x14ac:dyDescent="0.2">
      <c r="A3" s="277"/>
      <c r="B3" s="277"/>
      <c r="C3" s="277"/>
      <c r="D3" s="277"/>
      <c r="E3" s="277"/>
      <c r="F3" s="277"/>
      <c r="G3" s="277"/>
      <c r="H3" s="277"/>
      <c r="I3" s="277"/>
      <c r="J3" s="277"/>
    </row>
    <row r="4" spans="1:10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</row>
    <row r="5" spans="1:10" x14ac:dyDescent="0.2">
      <c r="A5" s="277"/>
      <c r="B5" s="380"/>
      <c r="C5" s="380"/>
      <c r="D5" s="380"/>
      <c r="E5" s="380"/>
      <c r="F5" s="277"/>
      <c r="G5" s="277"/>
      <c r="H5" s="277"/>
      <c r="I5" s="277"/>
      <c r="J5" s="277"/>
    </row>
    <row r="6" spans="1:10" ht="15" customHeight="1" x14ac:dyDescent="0.2">
      <c r="A6" s="277"/>
      <c r="B6" s="381"/>
      <c r="C6" s="381"/>
      <c r="D6" s="381"/>
      <c r="E6" s="381"/>
      <c r="F6" s="277"/>
      <c r="G6" s="277"/>
      <c r="H6" s="277"/>
      <c r="I6" s="278"/>
      <c r="J6" s="277"/>
    </row>
    <row r="7" spans="1:10" ht="15" customHeight="1" x14ac:dyDescent="0.2">
      <c r="A7" s="382" t="s">
        <v>316</v>
      </c>
      <c r="B7" s="382"/>
      <c r="C7" s="382"/>
      <c r="D7" s="382"/>
      <c r="E7" s="382"/>
      <c r="F7" s="382"/>
      <c r="G7" s="382"/>
      <c r="H7" s="382"/>
      <c r="I7" s="382"/>
      <c r="J7" s="277"/>
    </row>
    <row r="8" spans="1:10" ht="15" customHeight="1" thickBot="1" x14ac:dyDescent="0.25">
      <c r="A8" s="381"/>
      <c r="B8" s="381"/>
      <c r="C8" s="381"/>
      <c r="D8" s="381"/>
      <c r="E8" s="381"/>
      <c r="F8" s="381"/>
      <c r="G8" s="381"/>
      <c r="H8" s="381"/>
      <c r="I8" s="381"/>
      <c r="J8" s="277"/>
    </row>
    <row r="9" spans="1:10" s="95" customFormat="1" ht="43.5" customHeight="1" thickBot="1" x14ac:dyDescent="0.25">
      <c r="A9" s="97" t="s">
        <v>28</v>
      </c>
      <c r="B9" s="98" t="e">
        <f>+#REF!</f>
        <v>#REF!</v>
      </c>
      <c r="C9" s="99" t="s">
        <v>106</v>
      </c>
      <c r="D9" s="99" t="s">
        <v>31</v>
      </c>
      <c r="E9" s="99" t="s">
        <v>32</v>
      </c>
      <c r="F9" s="99" t="s">
        <v>33</v>
      </c>
      <c r="G9" s="99" t="s">
        <v>34</v>
      </c>
      <c r="H9" s="99" t="s">
        <v>35</v>
      </c>
      <c r="I9" s="99" t="s">
        <v>36</v>
      </c>
      <c r="J9" s="279"/>
    </row>
    <row r="10" spans="1:10" ht="20.100000000000001" customHeight="1" x14ac:dyDescent="0.25">
      <c r="A10" s="280">
        <v>1</v>
      </c>
      <c r="B10" s="281" t="s">
        <v>1</v>
      </c>
      <c r="C10" s="282">
        <v>6</v>
      </c>
      <c r="D10" s="283">
        <v>2</v>
      </c>
      <c r="E10" s="96">
        <f>SUM(F10:I10)</f>
        <v>435406.07</v>
      </c>
      <c r="F10" s="259"/>
      <c r="G10" s="259"/>
      <c r="H10" s="259">
        <v>435406.07</v>
      </c>
      <c r="I10" s="284"/>
      <c r="J10" s="277"/>
    </row>
    <row r="11" spans="1:10" ht="20.100000000000001" customHeight="1" x14ac:dyDescent="0.25">
      <c r="A11" s="285">
        <v>2</v>
      </c>
      <c r="B11" s="281" t="s">
        <v>2</v>
      </c>
      <c r="C11" s="282">
        <v>6</v>
      </c>
      <c r="D11" s="283">
        <v>2</v>
      </c>
      <c r="E11" s="96">
        <f t="shared" ref="E11:E21" si="0">SUM(F11:I11)</f>
        <v>3831052.1100000003</v>
      </c>
      <c r="F11" s="259">
        <v>2976964.7</v>
      </c>
      <c r="G11" s="259"/>
      <c r="H11" s="258">
        <f>314080.15+533680.83+6326.43</f>
        <v>854087.41</v>
      </c>
      <c r="I11" s="286"/>
      <c r="J11" s="277"/>
    </row>
    <row r="12" spans="1:10" ht="20.100000000000001" customHeight="1" x14ac:dyDescent="0.25">
      <c r="A12" s="285">
        <v>3</v>
      </c>
      <c r="B12" s="281" t="s">
        <v>3</v>
      </c>
      <c r="C12" s="282">
        <v>6</v>
      </c>
      <c r="D12" s="283">
        <v>2</v>
      </c>
      <c r="E12" s="96">
        <f t="shared" si="0"/>
        <v>4848783.6100000003</v>
      </c>
      <c r="F12" s="259">
        <v>4848783.6100000003</v>
      </c>
      <c r="G12" s="259"/>
      <c r="H12" s="259"/>
      <c r="I12" s="286"/>
      <c r="J12" s="277"/>
    </row>
    <row r="13" spans="1:10" ht="20.100000000000001" customHeight="1" x14ac:dyDescent="0.25">
      <c r="A13" s="285">
        <v>4</v>
      </c>
      <c r="B13" s="281" t="s">
        <v>4</v>
      </c>
      <c r="C13" s="282">
        <v>6</v>
      </c>
      <c r="D13" s="283">
        <v>2</v>
      </c>
      <c r="E13" s="96">
        <f t="shared" si="0"/>
        <v>3865259.9699999997</v>
      </c>
      <c r="F13" s="257">
        <v>3573304.11</v>
      </c>
      <c r="G13" s="259">
        <v>0</v>
      </c>
      <c r="H13" s="259">
        <v>291955.86</v>
      </c>
      <c r="I13" s="286"/>
      <c r="J13" s="277"/>
    </row>
    <row r="14" spans="1:10" ht="20.100000000000001" customHeight="1" x14ac:dyDescent="0.25">
      <c r="A14" s="285">
        <v>5</v>
      </c>
      <c r="B14" s="281" t="s">
        <v>5</v>
      </c>
      <c r="C14" s="282">
        <v>6</v>
      </c>
      <c r="D14" s="293">
        <v>2</v>
      </c>
      <c r="E14" s="294">
        <f t="shared" ref="E14:E19" si="1">+F14+G14</f>
        <v>4857394.4799999995</v>
      </c>
      <c r="F14" s="257">
        <v>4447869.68</v>
      </c>
      <c r="G14" s="259">
        <f t="shared" ref="G14:G17" si="2">+H14+I14</f>
        <v>409524.8</v>
      </c>
      <c r="H14" s="258">
        <f>360081.36+49443.44</f>
        <v>409524.8</v>
      </c>
      <c r="I14" s="286"/>
      <c r="J14" s="277"/>
    </row>
    <row r="15" spans="1:10" ht="20.100000000000001" customHeight="1" x14ac:dyDescent="0.25">
      <c r="A15" s="285">
        <v>6</v>
      </c>
      <c r="B15" s="281" t="s">
        <v>6</v>
      </c>
      <c r="C15" s="282">
        <v>6</v>
      </c>
      <c r="D15" s="293">
        <v>2</v>
      </c>
      <c r="E15" s="294">
        <f t="shared" si="1"/>
        <v>4891440.9400000004</v>
      </c>
      <c r="F15" s="257">
        <v>4891440.9400000004</v>
      </c>
      <c r="G15" s="259">
        <f t="shared" si="2"/>
        <v>0</v>
      </c>
      <c r="H15" s="258"/>
      <c r="I15" s="286"/>
      <c r="J15" s="277"/>
    </row>
    <row r="16" spans="1:10" ht="20.100000000000001" customHeight="1" x14ac:dyDescent="0.25">
      <c r="A16" s="285">
        <v>7</v>
      </c>
      <c r="B16" s="281" t="s">
        <v>7</v>
      </c>
      <c r="C16" s="282">
        <v>6</v>
      </c>
      <c r="D16" s="293">
        <v>2</v>
      </c>
      <c r="E16" s="294">
        <f t="shared" si="1"/>
        <v>4820478.26</v>
      </c>
      <c r="F16" s="257">
        <v>3867670.31</v>
      </c>
      <c r="G16" s="259">
        <f t="shared" si="2"/>
        <v>952807.95</v>
      </c>
      <c r="H16" s="258">
        <f>325499.24+627308.71</f>
        <v>952807.95</v>
      </c>
      <c r="I16" s="286"/>
      <c r="J16" s="277"/>
    </row>
    <row r="17" spans="1:10" ht="20.100000000000001" customHeight="1" x14ac:dyDescent="0.25">
      <c r="A17" s="285">
        <v>8</v>
      </c>
      <c r="B17" s="281" t="s">
        <v>37</v>
      </c>
      <c r="C17" s="282">
        <v>6</v>
      </c>
      <c r="D17" s="293">
        <v>2</v>
      </c>
      <c r="E17" s="294">
        <f t="shared" si="1"/>
        <v>5244644.66</v>
      </c>
      <c r="F17" s="257">
        <v>4770208.18</v>
      </c>
      <c r="G17" s="259">
        <f t="shared" si="2"/>
        <v>474436.48</v>
      </c>
      <c r="H17" s="258">
        <v>474436.48</v>
      </c>
      <c r="I17" s="286"/>
      <c r="J17" s="277"/>
    </row>
    <row r="18" spans="1:10" ht="20.100000000000001" customHeight="1" x14ac:dyDescent="0.25">
      <c r="A18" s="285">
        <v>9</v>
      </c>
      <c r="B18" s="281" t="s">
        <v>8</v>
      </c>
      <c r="C18" s="282">
        <v>6</v>
      </c>
      <c r="D18" s="293">
        <v>2</v>
      </c>
      <c r="E18" s="294">
        <f t="shared" si="1"/>
        <v>3726333.06</v>
      </c>
      <c r="F18" s="257">
        <v>3674775.86</v>
      </c>
      <c r="G18" s="259">
        <v>51557.2</v>
      </c>
      <c r="H18" s="258">
        <v>485839.76</v>
      </c>
      <c r="I18" s="258"/>
      <c r="J18" s="287"/>
    </row>
    <row r="19" spans="1:10" ht="20.100000000000001" customHeight="1" x14ac:dyDescent="0.25">
      <c r="A19" s="285">
        <v>10</v>
      </c>
      <c r="B19" s="281" t="s">
        <v>9</v>
      </c>
      <c r="C19" s="282">
        <v>6</v>
      </c>
      <c r="D19" s="293">
        <v>2</v>
      </c>
      <c r="E19" s="294">
        <f t="shared" si="1"/>
        <v>5662599.3600000003</v>
      </c>
      <c r="F19" s="260">
        <v>4690475.87</v>
      </c>
      <c r="G19" s="295">
        <f t="shared" ref="G19" si="3">+H19+I19</f>
        <v>972123.49</v>
      </c>
      <c r="H19" s="261">
        <v>972123.49</v>
      </c>
      <c r="I19" s="286"/>
      <c r="J19" s="277"/>
    </row>
    <row r="20" spans="1:10" ht="20.100000000000001" customHeight="1" x14ac:dyDescent="0.25">
      <c r="A20" s="285">
        <v>11</v>
      </c>
      <c r="B20" s="281" t="s">
        <v>96</v>
      </c>
      <c r="C20" s="288">
        <v>6</v>
      </c>
      <c r="D20" s="289">
        <v>2</v>
      </c>
      <c r="E20" s="96">
        <f t="shared" si="0"/>
        <v>0</v>
      </c>
      <c r="F20" s="260"/>
      <c r="G20" s="259"/>
      <c r="H20" s="261"/>
      <c r="I20" s="286"/>
      <c r="J20" s="277"/>
    </row>
    <row r="21" spans="1:10" ht="20.100000000000001" customHeight="1" thickBot="1" x14ac:dyDescent="0.3">
      <c r="A21" s="285">
        <v>12</v>
      </c>
      <c r="B21" s="281" t="s">
        <v>97</v>
      </c>
      <c r="C21" s="288"/>
      <c r="D21" s="289"/>
      <c r="E21" s="96">
        <f t="shared" si="0"/>
        <v>0</v>
      </c>
      <c r="F21" s="257"/>
      <c r="G21" s="259"/>
      <c r="H21" s="258"/>
      <c r="I21" s="286"/>
      <c r="J21" s="277"/>
    </row>
    <row r="22" spans="1:10" ht="20.100000000000001" customHeight="1" thickBot="1" x14ac:dyDescent="0.3">
      <c r="A22" s="377" t="s">
        <v>15</v>
      </c>
      <c r="B22" s="378"/>
      <c r="C22" s="378"/>
      <c r="D22" s="379"/>
      <c r="E22" s="290">
        <f>SUM(E10:E21)</f>
        <v>42183392.520000003</v>
      </c>
      <c r="F22" s="290">
        <f>SUM(F10:F21)</f>
        <v>37741493.259999998</v>
      </c>
      <c r="G22" s="290">
        <f>SUM(G10:G21)</f>
        <v>2860449.92</v>
      </c>
      <c r="H22" s="290">
        <f>SUM(H10:H21)</f>
        <v>4876181.82</v>
      </c>
      <c r="I22" s="291">
        <f>SUM(I10:I21)</f>
        <v>0</v>
      </c>
      <c r="J22" s="277"/>
    </row>
    <row r="23" spans="1:10" ht="13.5" thickBot="1" x14ac:dyDescent="0.25">
      <c r="A23" s="277"/>
      <c r="B23" s="292"/>
      <c r="C23" s="292"/>
      <c r="D23" s="292"/>
      <c r="E23" s="292"/>
      <c r="F23" s="292"/>
      <c r="G23" s="292"/>
      <c r="H23" s="292"/>
      <c r="I23" s="277"/>
      <c r="J23" s="277"/>
    </row>
    <row r="24" spans="1:10" ht="79.5" thickBot="1" x14ac:dyDescent="0.3">
      <c r="A24" s="277"/>
      <c r="B24" s="121" t="s">
        <v>157</v>
      </c>
      <c r="C24" s="124"/>
      <c r="D24" s="124"/>
      <c r="E24" s="125"/>
      <c r="F24" s="124"/>
      <c r="G24" s="124"/>
      <c r="H24" s="124"/>
      <c r="I24" s="124"/>
      <c r="J24" s="277"/>
    </row>
    <row r="25" spans="1:10" ht="18.75" x14ac:dyDescent="0.3">
      <c r="A25" s="277"/>
      <c r="B25" s="15"/>
      <c r="C25" s="16"/>
      <c r="D25" s="16"/>
      <c r="E25" s="4"/>
      <c r="F25" s="277"/>
      <c r="G25" s="277"/>
      <c r="H25" s="277"/>
      <c r="I25" s="277"/>
      <c r="J25" s="277"/>
    </row>
    <row r="26" spans="1:10" ht="18.75" x14ac:dyDescent="0.3">
      <c r="A26" s="277"/>
      <c r="B26" s="126"/>
      <c r="C26" s="16"/>
      <c r="D26" s="122"/>
      <c r="E26" s="4"/>
      <c r="F26" s="277"/>
      <c r="G26" s="277"/>
      <c r="H26" s="277"/>
      <c r="I26" s="277"/>
      <c r="J26" s="277"/>
    </row>
    <row r="27" spans="1:10" x14ac:dyDescent="0.2">
      <c r="A27" s="277"/>
      <c r="B27" s="277"/>
      <c r="C27" s="277"/>
      <c r="D27" s="277"/>
      <c r="E27" s="277"/>
      <c r="F27" s="277"/>
      <c r="G27" s="277"/>
      <c r="H27" s="277"/>
      <c r="I27" s="277"/>
      <c r="J27" s="277"/>
    </row>
    <row r="28" spans="1:10" x14ac:dyDescent="0.2">
      <c r="A28" s="277"/>
      <c r="B28" s="277"/>
      <c r="C28" s="277"/>
      <c r="D28" s="277"/>
      <c r="E28" s="277"/>
      <c r="F28" s="277"/>
      <c r="G28" s="277"/>
      <c r="H28" s="277"/>
      <c r="I28" s="277"/>
      <c r="J28" s="277"/>
    </row>
    <row r="29" spans="1:10" x14ac:dyDescent="0.2">
      <c r="A29" s="277"/>
      <c r="B29" s="277"/>
      <c r="C29" s="277"/>
      <c r="D29" s="277"/>
      <c r="E29" s="277"/>
      <c r="F29" s="277"/>
      <c r="G29" s="277"/>
      <c r="H29" s="277"/>
      <c r="I29" s="277"/>
      <c r="J29" s="277"/>
    </row>
    <row r="30" spans="1:10" x14ac:dyDescent="0.2">
      <c r="A30" s="277"/>
      <c r="B30" s="277"/>
      <c r="C30" s="277"/>
      <c r="D30" s="277"/>
      <c r="E30" s="277"/>
      <c r="F30" s="277"/>
      <c r="G30" s="277"/>
      <c r="H30" s="277"/>
      <c r="I30" s="277"/>
      <c r="J30" s="277"/>
    </row>
    <row r="31" spans="1:10" x14ac:dyDescent="0.2">
      <c r="A31" s="277"/>
      <c r="B31" s="277"/>
      <c r="C31" s="277"/>
      <c r="D31" s="277"/>
      <c r="E31" s="277"/>
      <c r="F31" s="277"/>
      <c r="G31" s="277"/>
      <c r="H31" s="277"/>
      <c r="I31" s="277"/>
      <c r="J31" s="277"/>
    </row>
    <row r="32" spans="1:10" x14ac:dyDescent="0.2">
      <c r="A32" s="277"/>
      <c r="B32" s="277"/>
      <c r="C32" s="277"/>
      <c r="D32" s="277"/>
      <c r="E32" s="277"/>
      <c r="F32" s="277"/>
      <c r="G32" s="277"/>
      <c r="H32" s="277"/>
      <c r="I32" s="277"/>
      <c r="J32" s="277"/>
    </row>
    <row r="33" spans="1:10" x14ac:dyDescent="0.2">
      <c r="A33" s="277"/>
      <c r="B33" s="277"/>
      <c r="C33" s="277"/>
      <c r="D33" s="277"/>
      <c r="E33" s="277"/>
      <c r="F33" s="277"/>
      <c r="G33" s="277"/>
      <c r="H33" s="277"/>
      <c r="I33" s="277"/>
      <c r="J33" s="277"/>
    </row>
    <row r="34" spans="1:10" x14ac:dyDescent="0.2">
      <c r="A34" s="277"/>
      <c r="B34" s="277"/>
      <c r="C34" s="277"/>
      <c r="D34" s="277"/>
      <c r="E34" s="277"/>
      <c r="F34" s="277"/>
      <c r="G34" s="277"/>
      <c r="H34" s="277"/>
      <c r="I34" s="277"/>
      <c r="J34" s="277"/>
    </row>
    <row r="35" spans="1:10" x14ac:dyDescent="0.2">
      <c r="A35" s="277"/>
      <c r="B35" s="277"/>
      <c r="C35" s="277"/>
      <c r="D35" s="277"/>
      <c r="E35" s="277"/>
      <c r="F35" s="277"/>
      <c r="G35" s="277"/>
      <c r="H35" s="277"/>
      <c r="I35" s="277"/>
      <c r="J35" s="277"/>
    </row>
    <row r="36" spans="1:10" x14ac:dyDescent="0.2">
      <c r="A36" s="277"/>
      <c r="B36" s="277"/>
      <c r="C36" s="277"/>
      <c r="D36" s="277"/>
      <c r="E36" s="277"/>
      <c r="F36" s="277"/>
      <c r="G36" s="277"/>
      <c r="H36" s="277"/>
      <c r="I36" s="277"/>
      <c r="J36" s="277"/>
    </row>
    <row r="37" spans="1:10" x14ac:dyDescent="0.2">
      <c r="A37" s="277"/>
      <c r="B37" s="277"/>
      <c r="C37" s="277"/>
      <c r="D37" s="277"/>
      <c r="E37" s="277"/>
      <c r="F37" s="277"/>
      <c r="G37" s="277"/>
      <c r="H37" s="277"/>
      <c r="I37" s="277"/>
      <c r="J37" s="277"/>
    </row>
    <row r="38" spans="1:10" x14ac:dyDescent="0.2">
      <c r="A38" s="277"/>
      <c r="B38" s="277"/>
      <c r="C38" s="277"/>
      <c r="D38" s="277"/>
      <c r="E38" s="277"/>
      <c r="F38" s="277"/>
      <c r="G38" s="277"/>
      <c r="H38" s="277"/>
      <c r="I38" s="277"/>
      <c r="J38" s="277"/>
    </row>
    <row r="39" spans="1:10" x14ac:dyDescent="0.2">
      <c r="A39" s="277"/>
      <c r="B39" s="277"/>
      <c r="C39" s="277"/>
      <c r="D39" s="277"/>
      <c r="E39" s="277"/>
      <c r="F39" s="277"/>
      <c r="G39" s="277"/>
      <c r="H39" s="277"/>
      <c r="I39" s="277"/>
      <c r="J39" s="277"/>
    </row>
    <row r="40" spans="1:10" x14ac:dyDescent="0.2">
      <c r="A40" s="277"/>
      <c r="B40" s="277"/>
      <c r="C40" s="277"/>
      <c r="D40" s="277"/>
      <c r="E40" s="277"/>
      <c r="F40" s="277"/>
      <c r="G40" s="277"/>
      <c r="H40" s="277"/>
      <c r="I40" s="277"/>
      <c r="J40" s="277"/>
    </row>
    <row r="41" spans="1:10" x14ac:dyDescent="0.2">
      <c r="A41" s="277"/>
      <c r="B41" s="277"/>
      <c r="C41" s="277"/>
      <c r="D41" s="277"/>
      <c r="E41" s="277"/>
      <c r="F41" s="277"/>
      <c r="G41" s="277"/>
      <c r="H41" s="277"/>
      <c r="I41" s="277"/>
      <c r="J41" s="277"/>
    </row>
    <row r="42" spans="1:10" x14ac:dyDescent="0.2">
      <c r="A42" s="277"/>
      <c r="B42" s="277"/>
      <c r="C42" s="277"/>
      <c r="D42" s="277"/>
      <c r="E42" s="277"/>
      <c r="F42" s="277"/>
      <c r="G42" s="277"/>
      <c r="H42" s="277"/>
      <c r="I42" s="277"/>
      <c r="J42" s="277"/>
    </row>
    <row r="43" spans="1:10" x14ac:dyDescent="0.2">
      <c r="A43" s="277"/>
      <c r="B43" s="277"/>
      <c r="C43" s="277"/>
      <c r="D43" s="277"/>
      <c r="E43" s="277"/>
      <c r="F43" s="277"/>
      <c r="G43" s="277"/>
      <c r="H43" s="277"/>
      <c r="I43" s="277"/>
      <c r="J43" s="277"/>
    </row>
    <row r="44" spans="1:10" x14ac:dyDescent="0.2">
      <c r="A44" s="277"/>
      <c r="B44" s="277"/>
      <c r="C44" s="277"/>
      <c r="D44" s="277"/>
      <c r="E44" s="277"/>
      <c r="F44" s="277"/>
      <c r="G44" s="277"/>
      <c r="H44" s="277"/>
      <c r="I44" s="277"/>
      <c r="J44" s="277"/>
    </row>
    <row r="45" spans="1:10" x14ac:dyDescent="0.2">
      <c r="A45" s="277"/>
      <c r="B45" s="277"/>
      <c r="C45" s="277"/>
      <c r="D45" s="277"/>
      <c r="E45" s="277"/>
      <c r="F45" s="277"/>
      <c r="G45" s="277"/>
      <c r="H45" s="277"/>
      <c r="I45" s="277"/>
      <c r="J45" s="277"/>
    </row>
    <row r="46" spans="1:10" x14ac:dyDescent="0.2">
      <c r="A46" s="277"/>
      <c r="B46" s="277"/>
      <c r="C46" s="277"/>
      <c r="D46" s="277"/>
      <c r="E46" s="277"/>
      <c r="F46" s="277"/>
      <c r="G46" s="277"/>
      <c r="H46" s="277"/>
      <c r="I46" s="277"/>
      <c r="J46" s="277"/>
    </row>
    <row r="47" spans="1:10" x14ac:dyDescent="0.2">
      <c r="A47" s="277"/>
      <c r="B47" s="277"/>
      <c r="C47" s="277"/>
      <c r="D47" s="277"/>
      <c r="E47" s="277"/>
      <c r="F47" s="277"/>
      <c r="G47" s="277"/>
      <c r="H47" s="277"/>
      <c r="I47" s="277"/>
      <c r="J47" s="277"/>
    </row>
    <row r="48" spans="1:10" x14ac:dyDescent="0.2">
      <c r="A48" s="277"/>
      <c r="B48" s="277"/>
      <c r="C48" s="277"/>
      <c r="D48" s="277"/>
      <c r="E48" s="277"/>
      <c r="F48" s="277"/>
      <c r="G48" s="277"/>
      <c r="H48" s="277"/>
      <c r="I48" s="277"/>
      <c r="J48" s="277"/>
    </row>
  </sheetData>
  <mergeCells count="5">
    <mergeCell ref="A22:D22"/>
    <mergeCell ref="B5:E5"/>
    <mergeCell ref="B6:E6"/>
    <mergeCell ref="A8:I8"/>
    <mergeCell ref="A7:I7"/>
  </mergeCells>
  <phoneticPr fontId="73" type="noConversion"/>
  <printOptions horizontalCentered="1"/>
  <pageMargins left="0.15748031496062992" right="0.23622047244094491" top="0.74803149606299213" bottom="0.74803149606299213" header="0.31496062992125984" footer="0.31496062992125984"/>
  <pageSetup scale="73" orientation="landscape" r:id="rId1"/>
  <headerFooter alignWithMargins="0">
    <oddFooter>&amp;R&amp;D&amp;T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94"/>
  <sheetViews>
    <sheetView showGridLines="0" topLeftCell="Q1" zoomScale="70" zoomScaleNormal="70" workbookViewId="0">
      <selection activeCell="M10" sqref="M10:V11"/>
    </sheetView>
  </sheetViews>
  <sheetFormatPr baseColWidth="10" defaultRowHeight="15" x14ac:dyDescent="0.25"/>
  <cols>
    <col min="1" max="1" width="4.140625" customWidth="1"/>
    <col min="2" max="2" width="39.5703125" bestFit="1" customWidth="1"/>
    <col min="3" max="6" width="18.5703125" bestFit="1" customWidth="1"/>
    <col min="7" max="7" width="19.7109375" customWidth="1"/>
    <col min="8" max="8" width="19" customWidth="1"/>
    <col min="9" max="9" width="21.28515625" customWidth="1"/>
    <col min="10" max="10" width="18.85546875" customWidth="1"/>
    <col min="11" max="11" width="20.140625" customWidth="1"/>
    <col min="12" max="12" width="20.85546875" customWidth="1"/>
    <col min="13" max="13" width="15.85546875" bestFit="1" customWidth="1"/>
    <col min="14" max="14" width="17" customWidth="1"/>
    <col min="15" max="15" width="16.7109375" customWidth="1"/>
    <col min="16" max="16" width="15.85546875" customWidth="1"/>
    <col min="17" max="17" width="19.28515625" customWidth="1"/>
    <col min="18" max="18" width="19.85546875" customWidth="1"/>
    <col min="19" max="19" width="17" customWidth="1"/>
    <col min="20" max="20" width="20" customWidth="1"/>
    <col min="21" max="21" width="18.28515625" customWidth="1"/>
    <col min="22" max="22" width="19.5703125" customWidth="1"/>
    <col min="23" max="23" width="18.42578125" customWidth="1"/>
    <col min="24" max="24" width="19.42578125" customWidth="1"/>
    <col min="25" max="25" width="18.42578125" customWidth="1"/>
    <col min="26" max="26" width="16.28515625" customWidth="1"/>
    <col min="27" max="27" width="23.5703125" customWidth="1"/>
    <col min="28" max="28" width="20.140625" bestFit="1" customWidth="1"/>
  </cols>
  <sheetData>
    <row r="1" spans="1:30" ht="36" x14ac:dyDescent="0.55000000000000004">
      <c r="A1" s="384" t="s">
        <v>41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4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</row>
    <row r="2" spans="1:30" ht="26.25" x14ac:dyDescent="0.4">
      <c r="A2" s="385" t="s">
        <v>42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4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</row>
    <row r="3" spans="1:30" ht="18.75" x14ac:dyDescent="0.3">
      <c r="A3" s="386" t="s">
        <v>43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4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</row>
    <row r="4" spans="1:30" ht="18.75" x14ac:dyDescent="0.3">
      <c r="A4" s="386" t="s">
        <v>317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4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</row>
    <row r="5" spans="1:30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</row>
    <row r="6" spans="1:30" s="105" customFormat="1" ht="23.25" x14ac:dyDescent="0.35">
      <c r="A6" s="394">
        <f>+'[3]RESUMEN ARS '!N9</f>
        <v>0</v>
      </c>
      <c r="B6" s="394"/>
      <c r="C6" s="394"/>
      <c r="D6" s="394"/>
      <c r="E6" s="104"/>
      <c r="F6" s="104" t="s">
        <v>173</v>
      </c>
      <c r="G6" s="104"/>
      <c r="H6" s="104"/>
      <c r="I6" s="104"/>
      <c r="J6" s="104"/>
      <c r="K6" s="104"/>
      <c r="L6" s="276"/>
    </row>
    <row r="7" spans="1:30" ht="15.7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</row>
    <row r="8" spans="1:30" ht="19.5" thickBot="1" x14ac:dyDescent="0.3">
      <c r="A8" s="387" t="s">
        <v>44</v>
      </c>
      <c r="B8" s="388"/>
      <c r="C8" s="391" t="s">
        <v>45</v>
      </c>
      <c r="D8" s="392"/>
      <c r="E8" s="393" t="s">
        <v>2</v>
      </c>
      <c r="F8" s="393"/>
      <c r="G8" s="393" t="s">
        <v>3</v>
      </c>
      <c r="H8" s="393"/>
      <c r="I8" s="393" t="s">
        <v>4</v>
      </c>
      <c r="J8" s="393"/>
      <c r="K8" s="393" t="s">
        <v>5</v>
      </c>
      <c r="L8" s="393"/>
      <c r="M8" s="393" t="s">
        <v>6</v>
      </c>
      <c r="N8" s="393"/>
      <c r="O8" s="393" t="s">
        <v>7</v>
      </c>
      <c r="P8" s="393"/>
      <c r="Q8" s="393" t="s">
        <v>37</v>
      </c>
      <c r="R8" s="393"/>
      <c r="S8" s="393" t="s">
        <v>8</v>
      </c>
      <c r="T8" s="393"/>
      <c r="U8" s="393" t="s">
        <v>9</v>
      </c>
      <c r="V8" s="393"/>
      <c r="W8" s="393" t="s">
        <v>96</v>
      </c>
      <c r="X8" s="393"/>
      <c r="Y8" s="393" t="s">
        <v>97</v>
      </c>
      <c r="Z8" s="393"/>
      <c r="AA8" s="393" t="s">
        <v>12</v>
      </c>
      <c r="AB8" s="393"/>
      <c r="AC8" s="225"/>
      <c r="AD8" s="225"/>
    </row>
    <row r="9" spans="1:30" ht="19.5" thickBot="1" x14ac:dyDescent="0.3">
      <c r="A9" s="272"/>
      <c r="B9" s="273"/>
      <c r="C9" s="274" t="s">
        <v>140</v>
      </c>
      <c r="D9" s="275" t="s">
        <v>38</v>
      </c>
      <c r="E9" s="274" t="s">
        <v>140</v>
      </c>
      <c r="F9" s="275" t="s">
        <v>38</v>
      </c>
      <c r="G9" s="274" t="s">
        <v>140</v>
      </c>
      <c r="H9" s="275" t="s">
        <v>38</v>
      </c>
      <c r="I9" s="274" t="s">
        <v>140</v>
      </c>
      <c r="J9" s="275" t="s">
        <v>38</v>
      </c>
      <c r="K9" s="274" t="s">
        <v>140</v>
      </c>
      <c r="L9" s="275" t="s">
        <v>38</v>
      </c>
      <c r="M9" s="274" t="s">
        <v>140</v>
      </c>
      <c r="N9" s="275" t="s">
        <v>38</v>
      </c>
      <c r="O9" s="274" t="s">
        <v>140</v>
      </c>
      <c r="P9" s="275" t="s">
        <v>38</v>
      </c>
      <c r="Q9" s="274" t="s">
        <v>140</v>
      </c>
      <c r="R9" s="275" t="s">
        <v>38</v>
      </c>
      <c r="S9" s="274" t="s">
        <v>140</v>
      </c>
      <c r="T9" s="275" t="s">
        <v>38</v>
      </c>
      <c r="U9" s="274" t="s">
        <v>140</v>
      </c>
      <c r="V9" s="275" t="s">
        <v>38</v>
      </c>
      <c r="W9" s="274" t="s">
        <v>140</v>
      </c>
      <c r="X9" s="275" t="s">
        <v>38</v>
      </c>
      <c r="Y9" s="274" t="s">
        <v>140</v>
      </c>
      <c r="Z9" s="275" t="s">
        <v>38</v>
      </c>
      <c r="AA9" s="274" t="s">
        <v>140</v>
      </c>
      <c r="AB9" s="275" t="s">
        <v>38</v>
      </c>
      <c r="AC9" s="225"/>
      <c r="AD9" s="225"/>
    </row>
    <row r="10" spans="1:30" ht="19.5" thickBot="1" x14ac:dyDescent="0.35">
      <c r="A10" s="6">
        <v>1</v>
      </c>
      <c r="B10" s="7" t="s">
        <v>46</v>
      </c>
      <c r="C10" s="175"/>
      <c r="D10" s="175"/>
      <c r="E10" s="174">
        <v>3268767.75</v>
      </c>
      <c r="F10" s="174">
        <v>2976964.7</v>
      </c>
      <c r="G10" s="176">
        <v>5246603.0999999996</v>
      </c>
      <c r="H10" s="176">
        <v>4848783.6100000003</v>
      </c>
      <c r="I10" s="176">
        <v>3919527.94</v>
      </c>
      <c r="J10" s="176">
        <v>3573304.11</v>
      </c>
      <c r="K10" s="176">
        <v>4947237.79</v>
      </c>
      <c r="L10" s="176">
        <v>4447869.68</v>
      </c>
      <c r="M10" s="176">
        <v>5273738.96</v>
      </c>
      <c r="N10" s="176">
        <v>4891440.9400000004</v>
      </c>
      <c r="O10" s="177">
        <v>4250469.3499999996</v>
      </c>
      <c r="P10" s="177">
        <v>3867670.31</v>
      </c>
      <c r="Q10" s="177">
        <v>5049497</v>
      </c>
      <c r="R10" s="177">
        <v>4770208.18</v>
      </c>
      <c r="S10" s="140">
        <v>5776894.7599999998</v>
      </c>
      <c r="T10" s="140">
        <v>5437616.8600000003</v>
      </c>
      <c r="U10" s="120">
        <v>4985631.58</v>
      </c>
      <c r="V10" s="120">
        <v>4690475.87</v>
      </c>
      <c r="W10" s="120"/>
      <c r="X10" s="120"/>
      <c r="Y10" s="177"/>
      <c r="Z10" s="177"/>
      <c r="AA10" s="177">
        <f>SUM(C10+E10+G10+I10+K10+M10+O10+Q10+S10+U10+W10+Y10)</f>
        <v>42718368.229999997</v>
      </c>
      <c r="AB10" s="178">
        <f>SUM(D10+F10+H10+J10+L10+N10+P10+R10+T10+V10+X10+Z10)</f>
        <v>39504334.259999998</v>
      </c>
      <c r="AC10" s="225"/>
      <c r="AD10" s="225"/>
    </row>
    <row r="11" spans="1:30" ht="19.5" thickBot="1" x14ac:dyDescent="0.35">
      <c r="A11" s="8">
        <v>2</v>
      </c>
      <c r="B11" s="9" t="s">
        <v>47</v>
      </c>
      <c r="C11" s="116">
        <v>439481.94</v>
      </c>
      <c r="D11" s="116">
        <v>435406.07</v>
      </c>
      <c r="E11" s="116">
        <f>319508.43+567445.98+6326.43</f>
        <v>893280.84</v>
      </c>
      <c r="F11" s="116">
        <f>314080.15+533680.83+6326.43</f>
        <v>854087.41</v>
      </c>
      <c r="G11" s="116"/>
      <c r="H11" s="116"/>
      <c r="I11" s="116">
        <v>292253.71999999997</v>
      </c>
      <c r="J11" s="116">
        <v>291955.86</v>
      </c>
      <c r="K11" s="116">
        <f>49443.44+360107.31</f>
        <v>409550.75</v>
      </c>
      <c r="L11" s="116">
        <f>360081.36+49443.44</f>
        <v>409524.8</v>
      </c>
      <c r="M11" s="116"/>
      <c r="N11" s="116"/>
      <c r="O11" s="117">
        <f>325499.24+627372.17</f>
        <v>952871.41</v>
      </c>
      <c r="P11" s="117">
        <f>325499.24+628308.71</f>
        <v>953807.95</v>
      </c>
      <c r="Q11" s="117">
        <v>509956.7</v>
      </c>
      <c r="R11" s="117">
        <v>474436.48</v>
      </c>
      <c r="S11" s="117">
        <v>590100.71</v>
      </c>
      <c r="T11" s="117">
        <v>535530.93000000005</v>
      </c>
      <c r="U11" s="117">
        <f>1048001.76+13932.09</f>
        <v>1061933.8500000001</v>
      </c>
      <c r="V11" s="117">
        <f>972123.49+13587.01</f>
        <v>985710.5</v>
      </c>
      <c r="W11" s="117"/>
      <c r="X11" s="117"/>
      <c r="Y11" s="117"/>
      <c r="Z11" s="117"/>
      <c r="AA11" s="120"/>
      <c r="AB11" s="178">
        <f>SUM(D11+F11+H11+J11+L11+N11+P11+R11+T11+V11+X11+Z11)</f>
        <v>4940460</v>
      </c>
      <c r="AC11" s="225"/>
      <c r="AD11" s="225"/>
    </row>
    <row r="12" spans="1:30" ht="19.5" thickBot="1" x14ac:dyDescent="0.3">
      <c r="A12" s="389" t="s">
        <v>48</v>
      </c>
      <c r="B12" s="390"/>
      <c r="C12" s="123">
        <f>SUM(C10:C11)</f>
        <v>439481.94</v>
      </c>
      <c r="D12" s="123">
        <f t="shared" ref="D12:AB12" si="0">SUM(D10:D11)</f>
        <v>435406.07</v>
      </c>
      <c r="E12" s="123">
        <f t="shared" si="0"/>
        <v>4162048.59</v>
      </c>
      <c r="F12" s="123">
        <f t="shared" si="0"/>
        <v>3831052.1100000003</v>
      </c>
      <c r="G12" s="123">
        <f t="shared" si="0"/>
        <v>5246603.0999999996</v>
      </c>
      <c r="H12" s="123">
        <f t="shared" si="0"/>
        <v>4848783.6100000003</v>
      </c>
      <c r="I12" s="123">
        <f t="shared" si="0"/>
        <v>4211781.66</v>
      </c>
      <c r="J12" s="123">
        <f t="shared" si="0"/>
        <v>3865259.9699999997</v>
      </c>
      <c r="K12" s="123">
        <f t="shared" si="0"/>
        <v>5356788.54</v>
      </c>
      <c r="L12" s="123">
        <f t="shared" si="0"/>
        <v>4857394.4799999995</v>
      </c>
      <c r="M12" s="123">
        <f t="shared" si="0"/>
        <v>5273738.96</v>
      </c>
      <c r="N12" s="123">
        <f t="shared" si="0"/>
        <v>4891440.9400000004</v>
      </c>
      <c r="O12" s="123">
        <f t="shared" si="0"/>
        <v>5203340.76</v>
      </c>
      <c r="P12" s="123">
        <f t="shared" si="0"/>
        <v>4821478.26</v>
      </c>
      <c r="Q12" s="123">
        <f t="shared" si="0"/>
        <v>5559453.7000000002</v>
      </c>
      <c r="R12" s="123">
        <f t="shared" si="0"/>
        <v>5244644.66</v>
      </c>
      <c r="S12" s="123">
        <f t="shared" si="0"/>
        <v>6366995.4699999997</v>
      </c>
      <c r="T12" s="123">
        <f t="shared" si="0"/>
        <v>5973147.79</v>
      </c>
      <c r="U12" s="123">
        <f t="shared" si="0"/>
        <v>6047565.4299999997</v>
      </c>
      <c r="V12" s="123">
        <f t="shared" si="0"/>
        <v>5676186.3700000001</v>
      </c>
      <c r="W12" s="123">
        <f t="shared" si="0"/>
        <v>0</v>
      </c>
      <c r="X12" s="123">
        <f t="shared" si="0"/>
        <v>0</v>
      </c>
      <c r="Y12" s="123">
        <f t="shared" si="0"/>
        <v>0</v>
      </c>
      <c r="Z12" s="123">
        <f t="shared" si="0"/>
        <v>0</v>
      </c>
      <c r="AA12" s="123">
        <f t="shared" si="0"/>
        <v>42718368.229999997</v>
      </c>
      <c r="AB12" s="123">
        <f t="shared" si="0"/>
        <v>44444794.259999998</v>
      </c>
      <c r="AC12" s="225"/>
      <c r="AD12" s="225"/>
    </row>
    <row r="13" spans="1:30" ht="18.75" x14ac:dyDescent="0.3">
      <c r="A13" s="10">
        <v>3</v>
      </c>
      <c r="B13" s="11" t="s">
        <v>49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9"/>
      <c r="AC13" s="225"/>
      <c r="AD13" s="225"/>
    </row>
    <row r="14" spans="1:30" ht="18.75" x14ac:dyDescent="0.3">
      <c r="A14" s="12">
        <v>4</v>
      </c>
      <c r="B14" s="13" t="s">
        <v>50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09"/>
      <c r="AC14" s="225"/>
      <c r="AD14" s="225"/>
    </row>
    <row r="15" spans="1:30" ht="18.75" x14ac:dyDescent="0.3">
      <c r="A15" s="12">
        <v>5</v>
      </c>
      <c r="B15" s="13" t="s">
        <v>51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09"/>
      <c r="AC15" s="225"/>
      <c r="AD15" s="225"/>
    </row>
    <row r="16" spans="1:30" ht="18.75" x14ac:dyDescent="0.3">
      <c r="A16" s="12">
        <v>6</v>
      </c>
      <c r="B16" s="13" t="s">
        <v>52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1"/>
      <c r="P16" s="111"/>
      <c r="Q16" s="111"/>
      <c r="R16" s="112"/>
      <c r="S16" s="111"/>
      <c r="T16" s="111"/>
      <c r="U16" s="111"/>
      <c r="V16" s="111"/>
      <c r="W16" s="111"/>
      <c r="X16" s="111"/>
      <c r="Y16" s="111"/>
      <c r="Z16" s="111"/>
      <c r="AA16" s="111"/>
      <c r="AB16" s="109"/>
      <c r="AC16" s="225"/>
      <c r="AD16" s="225"/>
    </row>
    <row r="17" spans="1:30" ht="18.75" x14ac:dyDescent="0.3">
      <c r="A17" s="12">
        <v>7</v>
      </c>
      <c r="B17" s="13" t="s">
        <v>53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1"/>
      <c r="P17" s="111"/>
      <c r="Q17" s="111"/>
      <c r="R17" s="111"/>
      <c r="S17" s="111"/>
      <c r="T17" s="111"/>
      <c r="U17" s="112"/>
      <c r="V17" s="113"/>
      <c r="W17" s="113"/>
      <c r="X17" s="113"/>
      <c r="Y17" s="113"/>
      <c r="Z17" s="113"/>
      <c r="AA17" s="113"/>
      <c r="AB17" s="109"/>
      <c r="AC17" s="225"/>
      <c r="AD17" s="225"/>
    </row>
    <row r="18" spans="1:30" ht="18.75" x14ac:dyDescent="0.3">
      <c r="A18" s="12">
        <v>8</v>
      </c>
      <c r="B18" s="13" t="s">
        <v>54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09"/>
      <c r="AC18" s="225"/>
      <c r="AD18" s="225"/>
    </row>
    <row r="19" spans="1:30" ht="18.75" x14ac:dyDescent="0.3">
      <c r="A19" s="12">
        <v>9</v>
      </c>
      <c r="B19" s="13" t="s">
        <v>55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09"/>
      <c r="AC19" s="225"/>
      <c r="AD19" s="225"/>
    </row>
    <row r="20" spans="1:30" ht="18.75" x14ac:dyDescent="0.3">
      <c r="A20" s="12">
        <v>10</v>
      </c>
      <c r="B20" s="13" t="s">
        <v>56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  <c r="P20" s="111"/>
      <c r="Q20" s="111"/>
      <c r="R20" s="111"/>
      <c r="S20" s="111"/>
      <c r="T20" s="111"/>
      <c r="U20" s="111"/>
      <c r="V20" s="113"/>
      <c r="W20" s="143"/>
      <c r="X20" s="143"/>
      <c r="Y20" s="113"/>
      <c r="Z20" s="113"/>
      <c r="AA20" s="113"/>
      <c r="AB20" s="109"/>
      <c r="AC20" s="225"/>
      <c r="AD20" s="225"/>
    </row>
    <row r="21" spans="1:30" ht="18.75" x14ac:dyDescent="0.3">
      <c r="A21" s="12">
        <v>11</v>
      </c>
      <c r="B21" s="13" t="s">
        <v>57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3"/>
      <c r="AB21" s="109"/>
      <c r="AC21" s="225"/>
      <c r="AD21" s="225"/>
    </row>
    <row r="22" spans="1:30" ht="18.75" x14ac:dyDescent="0.3">
      <c r="A22" s="12">
        <v>12</v>
      </c>
      <c r="B22" s="13" t="s">
        <v>58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1"/>
      <c r="P22" s="113"/>
      <c r="Q22" s="111"/>
      <c r="R22" s="112"/>
      <c r="S22" s="111"/>
      <c r="T22" s="111"/>
      <c r="U22" s="113"/>
      <c r="V22" s="113"/>
      <c r="W22" s="113"/>
      <c r="X22" s="113"/>
      <c r="Y22" s="113"/>
      <c r="Z22" s="113"/>
      <c r="AA22" s="113"/>
      <c r="AB22" s="109"/>
      <c r="AC22" s="225"/>
      <c r="AD22" s="225"/>
    </row>
    <row r="23" spans="1:30" ht="18.75" x14ac:dyDescent="0.3">
      <c r="A23" s="12">
        <v>13</v>
      </c>
      <c r="B23" s="13" t="s">
        <v>59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3"/>
      <c r="P23" s="113"/>
      <c r="Q23" s="111"/>
      <c r="R23" s="111"/>
      <c r="S23" s="113"/>
      <c r="T23" s="113"/>
      <c r="U23" s="113"/>
      <c r="V23" s="113"/>
      <c r="W23" s="113"/>
      <c r="X23" s="113"/>
      <c r="Y23" s="113"/>
      <c r="Z23" s="113"/>
      <c r="AA23" s="113"/>
      <c r="AB23" s="109"/>
      <c r="AC23" s="225"/>
      <c r="AD23" s="225"/>
    </row>
    <row r="24" spans="1:30" ht="18.75" x14ac:dyDescent="0.3">
      <c r="A24" s="12">
        <v>14</v>
      </c>
      <c r="B24" s="13" t="s">
        <v>60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4"/>
      <c r="P24" s="114"/>
      <c r="Q24" s="114"/>
      <c r="R24" s="111"/>
      <c r="S24" s="112"/>
      <c r="T24" s="112"/>
      <c r="U24" s="112"/>
      <c r="V24" s="112"/>
      <c r="W24" s="112"/>
      <c r="X24" s="112"/>
      <c r="Y24" s="112"/>
      <c r="Z24" s="112"/>
      <c r="AA24" s="112"/>
      <c r="AB24" s="109"/>
      <c r="AC24" s="225"/>
      <c r="AD24" s="225"/>
    </row>
    <row r="25" spans="1:30" ht="18.75" x14ac:dyDescent="0.3">
      <c r="A25" s="12">
        <v>15</v>
      </c>
      <c r="B25" s="13" t="s">
        <v>61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41"/>
      <c r="P25" s="141"/>
      <c r="Q25" s="115"/>
      <c r="R25" s="111"/>
      <c r="S25" s="115"/>
      <c r="T25" s="115"/>
      <c r="U25" s="115"/>
      <c r="V25" s="115"/>
      <c r="W25" s="115"/>
      <c r="X25" s="115"/>
      <c r="Y25" s="141"/>
      <c r="Z25" s="141"/>
      <c r="AA25" s="115"/>
      <c r="AB25" s="109"/>
      <c r="AC25" s="225"/>
      <c r="AD25" s="225"/>
    </row>
    <row r="26" spans="1:30" ht="18.75" x14ac:dyDescent="0.3">
      <c r="A26" s="12">
        <v>16</v>
      </c>
      <c r="B26" s="13" t="s">
        <v>62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/>
      <c r="P26" s="111"/>
      <c r="Q26" s="113"/>
      <c r="R26" s="111"/>
      <c r="S26" s="111"/>
      <c r="T26" s="111"/>
      <c r="U26" s="113"/>
      <c r="V26" s="113"/>
      <c r="W26" s="113"/>
      <c r="X26" s="113"/>
      <c r="Y26" s="113"/>
      <c r="Z26" s="113"/>
      <c r="AA26" s="113"/>
      <c r="AB26" s="109"/>
      <c r="AC26" s="225"/>
      <c r="AD26" s="225"/>
    </row>
    <row r="27" spans="1:30" ht="18.75" x14ac:dyDescent="0.3">
      <c r="A27" s="12">
        <v>17</v>
      </c>
      <c r="B27" s="13" t="s">
        <v>63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1"/>
      <c r="P27" s="113"/>
      <c r="Q27" s="111"/>
      <c r="R27" s="111"/>
      <c r="S27" s="111"/>
      <c r="T27" s="113"/>
      <c r="U27" s="113"/>
      <c r="V27" s="113"/>
      <c r="W27" s="113"/>
      <c r="X27" s="113"/>
      <c r="Y27" s="113"/>
      <c r="Z27" s="113"/>
      <c r="AA27" s="113"/>
      <c r="AB27" s="109"/>
      <c r="AC27" s="225"/>
      <c r="AD27" s="225"/>
    </row>
    <row r="28" spans="1:30" ht="18.75" x14ac:dyDescent="0.3">
      <c r="A28" s="12">
        <v>18</v>
      </c>
      <c r="B28" s="13" t="s">
        <v>64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3"/>
      <c r="P28" s="111"/>
      <c r="Q28" s="111"/>
      <c r="R28" s="113"/>
      <c r="S28" s="112"/>
      <c r="T28" s="111">
        <v>7321.64</v>
      </c>
      <c r="U28" s="112"/>
      <c r="V28" s="113"/>
      <c r="W28" s="143"/>
      <c r="X28" s="143"/>
      <c r="Y28" s="113"/>
      <c r="Z28" s="113"/>
      <c r="AA28" s="113"/>
      <c r="AB28" s="109"/>
      <c r="AC28" s="225"/>
      <c r="AD28" s="225"/>
    </row>
    <row r="29" spans="1:30" ht="18.75" x14ac:dyDescent="0.3">
      <c r="A29" s="12">
        <v>19</v>
      </c>
      <c r="B29" s="13" t="s">
        <v>65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1"/>
      <c r="P29" s="111"/>
      <c r="Q29" s="112"/>
      <c r="R29" s="111"/>
      <c r="S29" s="112"/>
      <c r="T29" s="112" t="s">
        <v>218</v>
      </c>
      <c r="U29" s="112"/>
      <c r="V29" s="112"/>
      <c r="W29" s="112"/>
      <c r="X29" s="112"/>
      <c r="Y29" s="112"/>
      <c r="Z29" s="112"/>
      <c r="AA29" s="112"/>
      <c r="AB29" s="109"/>
      <c r="AC29" s="225"/>
      <c r="AD29" s="225"/>
    </row>
    <row r="30" spans="1:30" ht="18.75" x14ac:dyDescent="0.3">
      <c r="A30" s="12">
        <v>20</v>
      </c>
      <c r="B30" s="13" t="s">
        <v>66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  <c r="P30" s="111"/>
      <c r="Q30" s="112"/>
      <c r="R30" s="111"/>
      <c r="S30" s="112"/>
      <c r="T30" s="112"/>
      <c r="U30" s="112"/>
      <c r="V30" s="112"/>
      <c r="W30" s="112"/>
      <c r="X30" s="112"/>
      <c r="Y30" s="112"/>
      <c r="Z30" s="112"/>
      <c r="AA30" s="112"/>
      <c r="AB30" s="109"/>
      <c r="AC30" s="225"/>
      <c r="AD30" s="225"/>
    </row>
    <row r="31" spans="1:30" ht="18.75" x14ac:dyDescent="0.3">
      <c r="A31" s="14">
        <v>21</v>
      </c>
      <c r="B31" s="9" t="s">
        <v>67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  <c r="P31" s="117"/>
      <c r="Q31" s="118"/>
      <c r="R31" s="117"/>
      <c r="S31" s="118"/>
      <c r="T31" s="118"/>
      <c r="U31" s="118"/>
      <c r="V31" s="118"/>
      <c r="W31" s="118"/>
      <c r="X31" s="118"/>
      <c r="Y31" s="118"/>
      <c r="Z31" s="118"/>
      <c r="AA31" s="118"/>
      <c r="AB31" s="109"/>
      <c r="AC31" s="225"/>
      <c r="AD31" s="225"/>
    </row>
    <row r="32" spans="1:30" ht="19.5" thickBot="1" x14ac:dyDescent="0.35">
      <c r="A32" s="14">
        <v>22</v>
      </c>
      <c r="B32" s="9" t="s">
        <v>68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7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09"/>
      <c r="AC32" s="225"/>
      <c r="AD32" s="225"/>
    </row>
    <row r="33" spans="1:30" ht="19.5" thickBot="1" x14ac:dyDescent="0.35">
      <c r="A33" s="383" t="s">
        <v>27</v>
      </c>
      <c r="B33" s="383"/>
      <c r="C33" s="119">
        <f>SUM(C12:C32)</f>
        <v>439481.94</v>
      </c>
      <c r="D33" s="119">
        <f t="shared" ref="D33:AB33" si="1">SUM(D12:D32)</f>
        <v>435406.07</v>
      </c>
      <c r="E33" s="119">
        <f t="shared" si="1"/>
        <v>4162048.59</v>
      </c>
      <c r="F33" s="119">
        <f t="shared" si="1"/>
        <v>3831052.1100000003</v>
      </c>
      <c r="G33" s="119">
        <f t="shared" si="1"/>
        <v>5246603.0999999996</v>
      </c>
      <c r="H33" s="119">
        <f t="shared" si="1"/>
        <v>4848783.6100000003</v>
      </c>
      <c r="I33" s="119">
        <f t="shared" si="1"/>
        <v>4211781.66</v>
      </c>
      <c r="J33" s="119">
        <f t="shared" si="1"/>
        <v>3865259.9699999997</v>
      </c>
      <c r="K33" s="119">
        <f t="shared" si="1"/>
        <v>5356788.54</v>
      </c>
      <c r="L33" s="119">
        <f t="shared" si="1"/>
        <v>4857394.4799999995</v>
      </c>
      <c r="M33" s="119">
        <f t="shared" si="1"/>
        <v>5273738.96</v>
      </c>
      <c r="N33" s="119">
        <f t="shared" si="1"/>
        <v>4891440.9400000004</v>
      </c>
      <c r="O33" s="119">
        <f t="shared" si="1"/>
        <v>5203340.76</v>
      </c>
      <c r="P33" s="119">
        <f t="shared" si="1"/>
        <v>4821478.26</v>
      </c>
      <c r="Q33" s="119">
        <f t="shared" si="1"/>
        <v>5559453.7000000002</v>
      </c>
      <c r="R33" s="119">
        <f t="shared" si="1"/>
        <v>5244644.66</v>
      </c>
      <c r="S33" s="119">
        <f t="shared" si="1"/>
        <v>6366995.4699999997</v>
      </c>
      <c r="T33" s="119">
        <f t="shared" si="1"/>
        <v>5980469.4299999997</v>
      </c>
      <c r="U33" s="119">
        <f t="shared" si="1"/>
        <v>6047565.4299999997</v>
      </c>
      <c r="V33" s="119">
        <f t="shared" si="1"/>
        <v>5676186.3700000001</v>
      </c>
      <c r="W33" s="119">
        <f t="shared" si="1"/>
        <v>0</v>
      </c>
      <c r="X33" s="119">
        <f t="shared" si="1"/>
        <v>0</v>
      </c>
      <c r="Y33" s="119">
        <f t="shared" si="1"/>
        <v>0</v>
      </c>
      <c r="Z33" s="119">
        <f t="shared" si="1"/>
        <v>0</v>
      </c>
      <c r="AA33" s="119">
        <f t="shared" si="1"/>
        <v>42718368.229999997</v>
      </c>
      <c r="AB33" s="119">
        <f t="shared" si="1"/>
        <v>44444794.259999998</v>
      </c>
      <c r="AC33" s="225"/>
      <c r="AD33" s="225"/>
    </row>
    <row r="34" spans="1:30" ht="18.75" x14ac:dyDescent="0.3">
      <c r="A34" s="5"/>
      <c r="B34" s="15"/>
      <c r="C34" s="16"/>
      <c r="D34" s="16"/>
      <c r="E34" s="4"/>
      <c r="F34" s="16"/>
      <c r="G34" s="4"/>
      <c r="H34" s="4"/>
      <c r="I34" s="4"/>
      <c r="J34" s="4"/>
      <c r="K34" s="4"/>
      <c r="L34" s="1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</row>
    <row r="35" spans="1:30" ht="26.25" x14ac:dyDescent="0.4">
      <c r="A35" s="89" t="s">
        <v>139</v>
      </c>
      <c r="B35" s="15"/>
      <c r="C35" s="16"/>
      <c r="D35" s="16"/>
      <c r="E35" s="4"/>
      <c r="F35" s="16"/>
      <c r="G35" s="4"/>
      <c r="H35" s="4"/>
      <c r="I35" s="4"/>
      <c r="J35" s="4"/>
      <c r="K35" s="4"/>
      <c r="L35" s="1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</row>
    <row r="36" spans="1:30" ht="26.25" x14ac:dyDescent="0.4">
      <c r="A36" s="89" t="s">
        <v>141</v>
      </c>
      <c r="B36" s="15"/>
      <c r="C36" s="16"/>
      <c r="D36" s="16"/>
      <c r="E36" s="4"/>
      <c r="F36" s="16"/>
      <c r="G36" s="4"/>
      <c r="H36" s="4"/>
      <c r="I36" s="4"/>
      <c r="J36" s="4"/>
      <c r="K36" s="4"/>
      <c r="L36" s="1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</row>
    <row r="37" spans="1:30" ht="18.75" x14ac:dyDescent="0.3">
      <c r="A37" s="225"/>
      <c r="B37" s="130"/>
      <c r="C37" s="127"/>
      <c r="D37" s="128"/>
      <c r="E37" s="129"/>
      <c r="F37" s="128"/>
      <c r="G37" s="129"/>
      <c r="H37" s="129"/>
      <c r="I37" s="129"/>
      <c r="J37" s="4"/>
      <c r="K37" s="4"/>
      <c r="L37" s="1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</row>
    <row r="38" spans="1:30" ht="18.75" x14ac:dyDescent="0.3">
      <c r="A38" s="225"/>
      <c r="B38" s="15"/>
      <c r="C38" s="138"/>
      <c r="D38" s="138"/>
      <c r="E38" s="139"/>
      <c r="F38" s="138"/>
      <c r="G38" s="139"/>
      <c r="H38" s="139"/>
      <c r="I38" s="139"/>
      <c r="J38" s="139"/>
      <c r="K38" s="4"/>
      <c r="L38" s="1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</row>
    <row r="39" spans="1:30" ht="18.75" x14ac:dyDescent="0.3">
      <c r="A39" s="225"/>
      <c r="B39" s="17"/>
      <c r="C39" s="18"/>
      <c r="D39" s="18"/>
      <c r="E39" s="18"/>
      <c r="F39" s="18"/>
      <c r="G39" s="4"/>
      <c r="H39" s="4"/>
      <c r="I39" s="4"/>
      <c r="J39" s="4"/>
      <c r="K39" s="4"/>
      <c r="L39" s="17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</row>
    <row r="40" spans="1:30" ht="18.75" x14ac:dyDescent="0.3">
      <c r="A40" s="225"/>
      <c r="B40" s="17"/>
      <c r="C40" s="18"/>
      <c r="D40" s="18"/>
      <c r="E40" s="18"/>
      <c r="F40" s="18"/>
      <c r="G40" s="4"/>
      <c r="H40" s="4"/>
      <c r="I40" s="4"/>
      <c r="J40" s="4"/>
      <c r="K40" s="4"/>
      <c r="L40" s="17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</row>
    <row r="41" spans="1:30" ht="18.75" x14ac:dyDescent="0.25">
      <c r="A41" s="225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19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</row>
    <row r="42" spans="1:30" ht="18.75" x14ac:dyDescent="0.3">
      <c r="A42" s="225"/>
      <c r="B42" s="15"/>
      <c r="C42" s="16"/>
      <c r="D42" s="21"/>
      <c r="E42" s="4"/>
      <c r="F42" s="22"/>
      <c r="G42" s="4"/>
      <c r="H42" s="4"/>
      <c r="I42" s="4"/>
      <c r="J42" s="4"/>
      <c r="K42" s="4"/>
      <c r="L42" s="1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</row>
    <row r="43" spans="1:30" ht="18.75" x14ac:dyDescent="0.3">
      <c r="A43" s="225"/>
      <c r="B43" s="15"/>
      <c r="C43" s="16"/>
      <c r="D43" s="16"/>
      <c r="E43" s="16"/>
      <c r="F43" s="16"/>
      <c r="G43" s="4"/>
      <c r="H43" s="4"/>
      <c r="I43" s="4"/>
      <c r="J43" s="4"/>
      <c r="K43" s="4"/>
      <c r="L43" s="1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</row>
    <row r="44" spans="1:30" ht="18.75" x14ac:dyDescent="0.3">
      <c r="A44" s="225"/>
      <c r="B44" s="15"/>
      <c r="C44" s="4"/>
      <c r="D44" s="4"/>
      <c r="E44" s="4"/>
      <c r="F44" s="22"/>
      <c r="G44" s="4"/>
      <c r="H44" s="4"/>
      <c r="I44" s="4"/>
      <c r="J44" s="4"/>
      <c r="K44" s="4"/>
      <c r="L44" s="1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</row>
    <row r="45" spans="1:30" ht="18.75" x14ac:dyDescent="0.3">
      <c r="A45" s="225"/>
      <c r="B45" s="15"/>
      <c r="C45" s="4"/>
      <c r="D45" s="4"/>
      <c r="E45" s="4"/>
      <c r="F45" s="22"/>
      <c r="G45" s="4"/>
      <c r="H45" s="4"/>
      <c r="I45" s="4"/>
      <c r="J45" s="4"/>
      <c r="K45" s="4"/>
      <c r="L45" s="1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</row>
    <row r="46" spans="1:30" ht="18.75" x14ac:dyDescent="0.3">
      <c r="A46" s="225"/>
      <c r="B46" s="15"/>
      <c r="C46" s="4"/>
      <c r="D46" s="4"/>
      <c r="E46" s="4"/>
      <c r="F46" s="22"/>
      <c r="G46" s="4"/>
      <c r="H46" s="4"/>
      <c r="I46" s="4"/>
      <c r="J46" s="4"/>
      <c r="K46" s="4"/>
      <c r="L46" s="1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</row>
    <row r="47" spans="1:30" ht="18.75" x14ac:dyDescent="0.3">
      <c r="A47" s="225"/>
      <c r="B47" s="15"/>
      <c r="C47" s="4"/>
      <c r="D47" s="4"/>
      <c r="E47" s="4"/>
      <c r="F47" s="22"/>
      <c r="G47" s="4"/>
      <c r="H47" s="4"/>
      <c r="I47" s="4"/>
      <c r="J47" s="4"/>
      <c r="K47" s="4"/>
      <c r="L47" s="1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</row>
    <row r="48" spans="1:30" ht="18.75" x14ac:dyDescent="0.3">
      <c r="A48" s="225"/>
      <c r="B48" s="15"/>
      <c r="C48" s="4"/>
      <c r="D48" s="4"/>
      <c r="E48" s="4"/>
      <c r="F48" s="22"/>
      <c r="G48" s="4"/>
      <c r="H48" s="4"/>
      <c r="I48" s="4"/>
      <c r="J48" s="4"/>
      <c r="K48" s="4"/>
      <c r="L48" s="1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</row>
    <row r="49" spans="2:12" ht="18.75" x14ac:dyDescent="0.3">
      <c r="B49" s="15"/>
      <c r="C49" s="4"/>
      <c r="D49" s="4"/>
      <c r="E49" s="4"/>
      <c r="F49" s="22"/>
      <c r="G49" s="4"/>
      <c r="H49" s="4"/>
      <c r="I49" s="4"/>
      <c r="J49" s="4"/>
      <c r="K49" s="4"/>
      <c r="L49" s="15"/>
    </row>
    <row r="50" spans="2:12" ht="18.75" x14ac:dyDescent="0.3">
      <c r="B50" s="15"/>
      <c r="C50" s="4"/>
      <c r="D50" s="4"/>
      <c r="E50" s="4"/>
      <c r="F50" s="22"/>
      <c r="G50" s="4"/>
      <c r="H50" s="4"/>
      <c r="I50" s="4"/>
      <c r="J50" s="4"/>
      <c r="K50" s="4"/>
      <c r="L50" s="15"/>
    </row>
    <row r="51" spans="2:12" ht="18.75" x14ac:dyDescent="0.3">
      <c r="B51" s="15"/>
      <c r="C51" s="4"/>
      <c r="D51" s="4"/>
      <c r="E51" s="4"/>
      <c r="F51" s="22"/>
      <c r="G51" s="4"/>
      <c r="H51" s="4"/>
      <c r="I51" s="4"/>
      <c r="J51" s="4"/>
      <c r="K51" s="4"/>
      <c r="L51" s="15"/>
    </row>
    <row r="52" spans="2:12" ht="18.75" x14ac:dyDescent="0.3">
      <c r="B52" s="15"/>
      <c r="C52" s="4"/>
      <c r="D52" s="4"/>
      <c r="E52" s="4"/>
      <c r="F52" s="22"/>
      <c r="G52" s="4"/>
      <c r="H52" s="4"/>
      <c r="I52" s="4"/>
      <c r="J52" s="4"/>
      <c r="K52" s="4"/>
      <c r="L52" s="15"/>
    </row>
    <row r="53" spans="2:12" ht="18.75" x14ac:dyDescent="0.3">
      <c r="B53" s="15"/>
      <c r="C53" s="4"/>
      <c r="D53" s="4"/>
      <c r="E53" s="4"/>
      <c r="F53" s="22"/>
      <c r="G53" s="4"/>
      <c r="H53" s="4"/>
      <c r="I53" s="4"/>
      <c r="J53" s="4"/>
      <c r="K53" s="4"/>
      <c r="L53" s="15"/>
    </row>
    <row r="54" spans="2:12" ht="18.75" x14ac:dyDescent="0.3">
      <c r="B54" s="17"/>
      <c r="C54" s="18"/>
      <c r="D54" s="18"/>
      <c r="E54" s="18"/>
      <c r="F54" s="18"/>
      <c r="G54" s="4"/>
      <c r="H54" s="4"/>
      <c r="I54" s="4"/>
      <c r="J54" s="4"/>
      <c r="K54" s="4"/>
      <c r="L54" s="17"/>
    </row>
    <row r="55" spans="2:12" ht="18.75" x14ac:dyDescent="0.3">
      <c r="B55" s="17"/>
      <c r="C55" s="18"/>
      <c r="D55" s="18"/>
      <c r="E55" s="18"/>
      <c r="F55" s="18"/>
      <c r="G55" s="4"/>
      <c r="H55" s="4"/>
      <c r="I55" s="4"/>
      <c r="J55" s="4"/>
      <c r="K55" s="4"/>
      <c r="L55" s="17"/>
    </row>
    <row r="56" spans="2:12" ht="18.75" x14ac:dyDescent="0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19"/>
    </row>
    <row r="57" spans="2:12" ht="18.75" x14ac:dyDescent="0.3">
      <c r="B57" s="15"/>
      <c r="C57" s="16"/>
      <c r="D57" s="16"/>
      <c r="E57" s="16"/>
      <c r="F57" s="22"/>
      <c r="G57" s="4"/>
      <c r="H57" s="4"/>
      <c r="I57" s="4"/>
      <c r="J57" s="4"/>
      <c r="K57" s="4"/>
      <c r="L57" s="15"/>
    </row>
    <row r="58" spans="2:12" ht="18.75" x14ac:dyDescent="0.3">
      <c r="B58" s="15"/>
      <c r="C58" s="16"/>
      <c r="D58" s="16"/>
      <c r="E58" s="16"/>
      <c r="F58" s="22"/>
      <c r="G58" s="4"/>
      <c r="H58" s="4"/>
      <c r="I58" s="4"/>
      <c r="J58" s="4"/>
      <c r="K58" s="4"/>
      <c r="L58" s="15"/>
    </row>
    <row r="59" spans="2:12" ht="18.75" x14ac:dyDescent="0.3">
      <c r="B59" s="15"/>
      <c r="C59" s="16"/>
      <c r="D59" s="16"/>
      <c r="E59" s="16"/>
      <c r="F59" s="22"/>
      <c r="G59" s="4"/>
      <c r="H59" s="4"/>
      <c r="I59" s="4"/>
      <c r="J59" s="4"/>
      <c r="K59" s="4"/>
      <c r="L59" s="15"/>
    </row>
    <row r="60" spans="2:12" ht="18.75" x14ac:dyDescent="0.3">
      <c r="B60" s="15"/>
      <c r="C60" s="16"/>
      <c r="D60" s="16"/>
      <c r="E60" s="16"/>
      <c r="F60" s="22"/>
      <c r="G60" s="4"/>
      <c r="H60" s="4"/>
      <c r="I60" s="4"/>
      <c r="J60" s="4"/>
      <c r="K60" s="4"/>
      <c r="L60" s="15"/>
    </row>
    <row r="61" spans="2:12" ht="18.75" x14ac:dyDescent="0.3">
      <c r="B61" s="15"/>
      <c r="C61" s="16"/>
      <c r="D61" s="16"/>
      <c r="E61" s="16"/>
      <c r="F61" s="22"/>
      <c r="G61" s="4"/>
      <c r="H61" s="4"/>
      <c r="I61" s="4"/>
      <c r="J61" s="4"/>
      <c r="K61" s="4"/>
      <c r="L61" s="15"/>
    </row>
    <row r="62" spans="2:12" ht="18.75" x14ac:dyDescent="0.3">
      <c r="B62" s="15"/>
      <c r="C62" s="16"/>
      <c r="D62" s="16"/>
      <c r="E62" s="16"/>
      <c r="F62" s="22"/>
      <c r="G62" s="4"/>
      <c r="H62" s="4"/>
      <c r="I62" s="4"/>
      <c r="J62" s="4"/>
      <c r="K62" s="4"/>
      <c r="L62" s="15"/>
    </row>
    <row r="63" spans="2:12" ht="18.75" x14ac:dyDescent="0.3">
      <c r="B63" s="15"/>
      <c r="C63" s="16"/>
      <c r="D63" s="16"/>
      <c r="E63" s="16"/>
      <c r="F63" s="22"/>
      <c r="G63" s="4"/>
      <c r="H63" s="4"/>
      <c r="I63" s="4"/>
      <c r="J63" s="4"/>
      <c r="K63" s="4"/>
      <c r="L63" s="15"/>
    </row>
    <row r="64" spans="2:12" ht="18.75" x14ac:dyDescent="0.3">
      <c r="B64" s="15"/>
      <c r="C64" s="16"/>
      <c r="D64" s="16"/>
      <c r="E64" s="16"/>
      <c r="F64" s="22"/>
      <c r="G64" s="4"/>
      <c r="H64" s="4"/>
      <c r="I64" s="4"/>
      <c r="J64" s="4"/>
      <c r="K64" s="4"/>
      <c r="L64" s="15"/>
    </row>
    <row r="65" spans="2:12" ht="18.75" x14ac:dyDescent="0.3">
      <c r="B65" s="15"/>
      <c r="C65" s="16"/>
      <c r="D65" s="16"/>
      <c r="E65" s="16"/>
      <c r="F65" s="22"/>
      <c r="G65" s="4"/>
      <c r="H65" s="4"/>
      <c r="I65" s="4"/>
      <c r="J65" s="4"/>
      <c r="K65" s="4"/>
      <c r="L65" s="15"/>
    </row>
    <row r="66" spans="2:12" ht="18.75" x14ac:dyDescent="0.3">
      <c r="B66" s="15"/>
      <c r="C66" s="16"/>
      <c r="D66" s="16"/>
      <c r="E66" s="16"/>
      <c r="F66" s="22"/>
      <c r="G66" s="4"/>
      <c r="H66" s="4"/>
      <c r="I66" s="4"/>
      <c r="J66" s="4"/>
      <c r="K66" s="4"/>
      <c r="L66" s="15"/>
    </row>
    <row r="67" spans="2:12" ht="18.75" x14ac:dyDescent="0.3">
      <c r="B67" s="15"/>
      <c r="C67" s="16"/>
      <c r="D67" s="16"/>
      <c r="E67" s="16"/>
      <c r="F67" s="22"/>
      <c r="G67" s="4"/>
      <c r="H67" s="4"/>
      <c r="I67" s="4"/>
      <c r="J67" s="4"/>
      <c r="K67" s="4"/>
      <c r="L67" s="15"/>
    </row>
    <row r="68" spans="2:12" ht="18.75" x14ac:dyDescent="0.3">
      <c r="B68" s="15"/>
      <c r="C68" s="16"/>
      <c r="D68" s="16"/>
      <c r="E68" s="16"/>
      <c r="F68" s="22"/>
      <c r="G68" s="4"/>
      <c r="H68" s="4"/>
      <c r="I68" s="4"/>
      <c r="J68" s="4"/>
      <c r="K68" s="4"/>
      <c r="L68" s="15"/>
    </row>
    <row r="69" spans="2:12" ht="18.75" x14ac:dyDescent="0.3">
      <c r="B69" s="17"/>
      <c r="C69" s="18"/>
      <c r="D69" s="18"/>
      <c r="E69" s="18"/>
      <c r="F69" s="18"/>
      <c r="G69" s="4"/>
      <c r="H69" s="4"/>
      <c r="I69" s="4"/>
      <c r="J69" s="4"/>
      <c r="K69" s="4"/>
      <c r="L69" s="17"/>
    </row>
    <row r="70" spans="2:12" ht="18.75" x14ac:dyDescent="0.3">
      <c r="B70" s="17"/>
      <c r="C70" s="18"/>
      <c r="D70" s="18"/>
      <c r="E70" s="18"/>
      <c r="F70" s="18"/>
      <c r="G70" s="4"/>
      <c r="H70" s="4"/>
      <c r="I70" s="4"/>
      <c r="J70" s="4"/>
      <c r="K70" s="4"/>
      <c r="L70" s="17"/>
    </row>
    <row r="71" spans="2:12" ht="18.75" x14ac:dyDescent="0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19"/>
    </row>
    <row r="72" spans="2:12" ht="18.75" x14ac:dyDescent="0.3">
      <c r="B72" s="15"/>
      <c r="C72" s="23"/>
      <c r="D72" s="23"/>
      <c r="E72" s="16"/>
      <c r="F72" s="23"/>
      <c r="G72" s="4"/>
      <c r="H72" s="4"/>
      <c r="I72" s="4"/>
      <c r="J72" s="4"/>
      <c r="K72" s="4"/>
      <c r="L72" s="15"/>
    </row>
    <row r="73" spans="2:12" ht="18.75" x14ac:dyDescent="0.3">
      <c r="B73" s="15"/>
      <c r="C73" s="24"/>
      <c r="D73" s="24"/>
      <c r="E73" s="16"/>
      <c r="F73" s="23"/>
      <c r="G73" s="4"/>
      <c r="H73" s="4"/>
      <c r="I73" s="4"/>
      <c r="J73" s="4"/>
      <c r="K73" s="4"/>
      <c r="L73" s="15"/>
    </row>
    <row r="74" spans="2:12" ht="18.75" x14ac:dyDescent="0.3">
      <c r="B74" s="15"/>
      <c r="C74" s="23"/>
      <c r="D74" s="23"/>
      <c r="E74" s="16"/>
      <c r="F74" s="23"/>
      <c r="G74" s="4"/>
      <c r="H74" s="4"/>
      <c r="I74" s="4"/>
      <c r="J74" s="4"/>
      <c r="K74" s="4"/>
      <c r="L74" s="15"/>
    </row>
    <row r="75" spans="2:12" ht="18.75" x14ac:dyDescent="0.3">
      <c r="B75" s="15"/>
      <c r="C75" s="24"/>
      <c r="D75" s="24"/>
      <c r="E75" s="16"/>
      <c r="F75" s="24"/>
      <c r="G75" s="4"/>
      <c r="H75" s="4"/>
      <c r="I75" s="4"/>
      <c r="J75" s="4"/>
      <c r="K75" s="4"/>
      <c r="L75" s="15"/>
    </row>
    <row r="76" spans="2:12" ht="18.75" x14ac:dyDescent="0.3">
      <c r="B76" s="15"/>
      <c r="C76" s="23"/>
      <c r="D76" s="23"/>
      <c r="E76" s="16"/>
      <c r="F76" s="23"/>
      <c r="G76" s="4"/>
      <c r="H76" s="4"/>
      <c r="I76" s="4"/>
      <c r="J76" s="4"/>
      <c r="K76" s="4"/>
      <c r="L76" s="15"/>
    </row>
    <row r="77" spans="2:12" ht="18.75" x14ac:dyDescent="0.3">
      <c r="B77" s="15"/>
      <c r="C77" s="24"/>
      <c r="D77" s="24"/>
      <c r="E77" s="16"/>
      <c r="F77" s="24"/>
      <c r="G77" s="4"/>
      <c r="H77" s="4"/>
      <c r="I77" s="4"/>
      <c r="J77" s="4"/>
      <c r="K77" s="4"/>
      <c r="L77" s="15"/>
    </row>
    <row r="78" spans="2:12" ht="18.75" x14ac:dyDescent="0.3">
      <c r="B78" s="15"/>
      <c r="C78" s="16"/>
      <c r="D78" s="16"/>
      <c r="E78" s="16"/>
      <c r="F78" s="22"/>
      <c r="G78" s="4"/>
      <c r="H78" s="4"/>
      <c r="I78" s="4"/>
      <c r="J78" s="4"/>
      <c r="K78" s="4"/>
      <c r="L78" s="15"/>
    </row>
    <row r="79" spans="2:12" ht="18.75" x14ac:dyDescent="0.3">
      <c r="B79" s="15"/>
      <c r="C79" s="16"/>
      <c r="D79" s="16"/>
      <c r="E79" s="16"/>
      <c r="F79" s="22"/>
      <c r="G79" s="4"/>
      <c r="H79" s="4"/>
      <c r="I79" s="4"/>
      <c r="J79" s="4"/>
      <c r="K79" s="4"/>
      <c r="L79" s="15"/>
    </row>
    <row r="80" spans="2:12" ht="18.75" x14ac:dyDescent="0.3">
      <c r="B80" s="15"/>
      <c r="C80" s="16"/>
      <c r="D80" s="16"/>
      <c r="E80" s="16"/>
      <c r="F80" s="22"/>
      <c r="G80" s="4"/>
      <c r="H80" s="4"/>
      <c r="I80" s="4"/>
      <c r="J80" s="4"/>
      <c r="K80" s="4"/>
      <c r="L80" s="15"/>
    </row>
    <row r="81" spans="2:12" ht="18.75" x14ac:dyDescent="0.3">
      <c r="B81" s="15"/>
      <c r="C81" s="16"/>
      <c r="D81" s="16"/>
      <c r="E81" s="16"/>
      <c r="F81" s="22"/>
      <c r="G81" s="4"/>
      <c r="H81" s="4"/>
      <c r="I81" s="4"/>
      <c r="J81" s="4"/>
      <c r="K81" s="4"/>
      <c r="L81" s="15"/>
    </row>
    <row r="82" spans="2:12" ht="18.75" x14ac:dyDescent="0.3">
      <c r="B82" s="15"/>
      <c r="C82" s="16"/>
      <c r="D82" s="16"/>
      <c r="E82" s="16"/>
      <c r="F82" s="22"/>
      <c r="G82" s="4"/>
      <c r="H82" s="4"/>
      <c r="I82" s="4"/>
      <c r="J82" s="4"/>
      <c r="K82" s="4"/>
      <c r="L82" s="15"/>
    </row>
    <row r="83" spans="2:12" ht="18.75" x14ac:dyDescent="0.3">
      <c r="B83" s="15"/>
      <c r="C83" s="16"/>
      <c r="D83" s="16"/>
      <c r="E83" s="16"/>
      <c r="F83" s="22"/>
      <c r="G83" s="4"/>
      <c r="H83" s="4"/>
      <c r="I83" s="4"/>
      <c r="J83" s="4"/>
      <c r="K83" s="4"/>
      <c r="L83" s="15"/>
    </row>
    <row r="84" spans="2:12" ht="18.75" x14ac:dyDescent="0.3">
      <c r="B84" s="17"/>
      <c r="C84" s="18"/>
      <c r="D84" s="18"/>
      <c r="E84" s="18"/>
      <c r="F84" s="18"/>
      <c r="G84" s="4"/>
      <c r="H84" s="4"/>
      <c r="I84" s="4"/>
      <c r="J84" s="4"/>
      <c r="K84" s="4"/>
      <c r="L84" s="17"/>
    </row>
    <row r="85" spans="2:12" ht="18.75" x14ac:dyDescent="0.3">
      <c r="B85" s="25"/>
      <c r="C85" s="4"/>
      <c r="D85" s="4"/>
      <c r="E85" s="4"/>
      <c r="F85" s="4"/>
      <c r="G85" s="4"/>
      <c r="H85" s="4"/>
      <c r="I85" s="4"/>
      <c r="J85" s="4"/>
      <c r="K85" s="4"/>
      <c r="L85" s="25"/>
    </row>
    <row r="86" spans="2:12" ht="18.75" x14ac:dyDescent="0.25"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19"/>
    </row>
    <row r="87" spans="2:12" ht="18.75" x14ac:dyDescent="0.3">
      <c r="B87" s="15"/>
      <c r="C87" s="16"/>
      <c r="D87" s="16"/>
      <c r="E87" s="16"/>
      <c r="F87" s="22"/>
      <c r="G87" s="26"/>
      <c r="H87" s="26"/>
      <c r="I87" s="26"/>
      <c r="J87" s="26"/>
      <c r="K87" s="26"/>
      <c r="L87" s="15"/>
    </row>
    <row r="88" spans="2:12" ht="18.75" x14ac:dyDescent="0.3">
      <c r="B88" s="15"/>
      <c r="C88" s="16"/>
      <c r="D88" s="16"/>
      <c r="E88" s="16"/>
      <c r="F88" s="22"/>
      <c r="G88" s="26"/>
      <c r="H88" s="26"/>
      <c r="I88" s="26"/>
      <c r="J88" s="26"/>
      <c r="K88" s="26"/>
      <c r="L88" s="15"/>
    </row>
    <row r="89" spans="2:12" ht="18.75" x14ac:dyDescent="0.3">
      <c r="B89" s="15"/>
      <c r="C89" s="16"/>
      <c r="D89" s="16"/>
      <c r="E89" s="16"/>
      <c r="F89" s="22"/>
      <c r="G89" s="26"/>
      <c r="H89" s="26"/>
      <c r="I89" s="26"/>
      <c r="J89" s="26"/>
      <c r="K89" s="26"/>
      <c r="L89" s="15"/>
    </row>
    <row r="90" spans="2:12" ht="18.75" x14ac:dyDescent="0.3">
      <c r="B90" s="15"/>
      <c r="C90" s="16"/>
      <c r="D90" s="16"/>
      <c r="E90" s="16"/>
      <c r="F90" s="22"/>
      <c r="G90" s="26"/>
      <c r="H90" s="26"/>
      <c r="I90" s="26"/>
      <c r="J90" s="26"/>
      <c r="K90" s="26"/>
      <c r="L90" s="15"/>
    </row>
    <row r="91" spans="2:12" ht="18.75" x14ac:dyDescent="0.3">
      <c r="B91" s="15"/>
      <c r="C91" s="16"/>
      <c r="D91" s="16"/>
      <c r="E91" s="16"/>
      <c r="F91" s="22"/>
      <c r="G91" s="26"/>
      <c r="H91" s="26"/>
      <c r="I91" s="26"/>
      <c r="J91" s="26"/>
      <c r="K91" s="26"/>
      <c r="L91" s="15"/>
    </row>
    <row r="92" spans="2:12" ht="18.75" x14ac:dyDescent="0.3">
      <c r="B92" s="15"/>
      <c r="C92" s="16"/>
      <c r="D92" s="16"/>
      <c r="E92" s="16"/>
      <c r="F92" s="22"/>
      <c r="G92" s="26"/>
      <c r="H92" s="26"/>
      <c r="I92" s="26"/>
      <c r="J92" s="26"/>
      <c r="K92" s="26"/>
      <c r="L92" s="15"/>
    </row>
    <row r="93" spans="2:12" ht="18.75" x14ac:dyDescent="0.3">
      <c r="B93" s="15"/>
      <c r="C93" s="16"/>
      <c r="D93" s="16"/>
      <c r="E93" s="16"/>
      <c r="F93" s="22"/>
      <c r="G93" s="26"/>
      <c r="H93" s="26"/>
      <c r="I93" s="26"/>
      <c r="J93" s="26"/>
      <c r="K93" s="26"/>
      <c r="L93" s="15"/>
    </row>
    <row r="94" spans="2:12" ht="18.75" x14ac:dyDescent="0.3">
      <c r="B94" s="15"/>
      <c r="C94" s="16"/>
      <c r="D94" s="16"/>
      <c r="E94" s="16"/>
      <c r="F94" s="22"/>
      <c r="G94" s="26"/>
      <c r="H94" s="26"/>
      <c r="I94" s="26"/>
      <c r="J94" s="26"/>
      <c r="K94" s="26"/>
      <c r="L94" s="15"/>
    </row>
    <row r="95" spans="2:12" ht="18.75" x14ac:dyDescent="0.3">
      <c r="B95" s="15"/>
      <c r="C95" s="16"/>
      <c r="D95" s="16"/>
      <c r="E95" s="16"/>
      <c r="F95" s="22"/>
      <c r="G95" s="26"/>
      <c r="H95" s="26"/>
      <c r="I95" s="26"/>
      <c r="J95" s="26"/>
      <c r="K95" s="26"/>
      <c r="L95" s="15"/>
    </row>
    <row r="96" spans="2:12" ht="18.75" x14ac:dyDescent="0.3">
      <c r="B96" s="15"/>
      <c r="C96" s="16"/>
      <c r="D96" s="16"/>
      <c r="E96" s="16"/>
      <c r="F96" s="22"/>
      <c r="G96" s="26"/>
      <c r="H96" s="26"/>
      <c r="I96" s="26"/>
      <c r="J96" s="26"/>
      <c r="K96" s="26"/>
      <c r="L96" s="15"/>
    </row>
    <row r="97" spans="2:12" ht="18.75" x14ac:dyDescent="0.3">
      <c r="B97" s="15"/>
      <c r="C97" s="16"/>
      <c r="D97" s="16"/>
      <c r="E97" s="16"/>
      <c r="F97" s="22"/>
      <c r="G97" s="26"/>
      <c r="H97" s="26"/>
      <c r="I97" s="26"/>
      <c r="J97" s="26"/>
      <c r="K97" s="26"/>
      <c r="L97" s="15"/>
    </row>
    <row r="98" spans="2:12" ht="18.75" x14ac:dyDescent="0.3">
      <c r="B98" s="15"/>
      <c r="C98" s="16"/>
      <c r="D98" s="16"/>
      <c r="E98" s="16"/>
      <c r="F98" s="22"/>
      <c r="G98" s="26"/>
      <c r="H98" s="26"/>
      <c r="I98" s="26"/>
      <c r="J98" s="26"/>
      <c r="K98" s="26"/>
      <c r="L98" s="15"/>
    </row>
    <row r="99" spans="2:12" ht="18.75" x14ac:dyDescent="0.3">
      <c r="B99" s="17"/>
      <c r="C99" s="18"/>
      <c r="D99" s="18"/>
      <c r="E99" s="18"/>
      <c r="F99" s="18"/>
      <c r="G99" s="4"/>
      <c r="H99" s="4"/>
      <c r="I99" s="4"/>
      <c r="J99" s="4"/>
      <c r="K99" s="4"/>
      <c r="L99" s="17"/>
    </row>
    <row r="100" spans="2:12" ht="18.75" x14ac:dyDescent="0.3">
      <c r="B100" s="27"/>
      <c r="C100" s="28"/>
      <c r="D100" s="29"/>
      <c r="E100" s="30"/>
      <c r="F100" s="31"/>
      <c r="G100" s="32"/>
      <c r="H100" s="32"/>
      <c r="I100" s="32"/>
      <c r="J100" s="32"/>
      <c r="K100" s="32"/>
      <c r="L100" s="27"/>
    </row>
    <row r="101" spans="2:12" ht="18.75" x14ac:dyDescent="0.3">
      <c r="B101" s="33"/>
      <c r="C101" s="4"/>
      <c r="D101" s="4"/>
      <c r="E101" s="16"/>
      <c r="F101" s="16"/>
      <c r="G101" s="4"/>
      <c r="H101" s="4"/>
      <c r="I101" s="4"/>
      <c r="J101" s="4"/>
      <c r="K101" s="4"/>
      <c r="L101" s="33"/>
    </row>
    <row r="102" spans="2:12" ht="18.75" x14ac:dyDescent="0.25"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19"/>
    </row>
    <row r="103" spans="2:12" ht="18.75" x14ac:dyDescent="0.3">
      <c r="B103" s="15"/>
      <c r="C103" s="21"/>
      <c r="D103" s="34"/>
      <c r="E103" s="4"/>
      <c r="F103" s="21"/>
      <c r="G103" s="4"/>
      <c r="H103" s="4"/>
      <c r="I103" s="4"/>
      <c r="J103" s="4"/>
      <c r="K103" s="4"/>
      <c r="L103" s="15"/>
    </row>
    <row r="104" spans="2:12" ht="18.75" x14ac:dyDescent="0.3">
      <c r="B104" s="15"/>
      <c r="C104" s="21"/>
      <c r="D104" s="34"/>
      <c r="E104" s="4"/>
      <c r="F104" s="21"/>
      <c r="G104" s="4"/>
      <c r="H104" s="4"/>
      <c r="I104" s="4"/>
      <c r="J104" s="4"/>
      <c r="K104" s="4"/>
      <c r="L104" s="15"/>
    </row>
    <row r="105" spans="2:12" ht="18.75" x14ac:dyDescent="0.3">
      <c r="B105" s="15"/>
      <c r="C105" s="21"/>
      <c r="D105" s="34"/>
      <c r="E105" s="4"/>
      <c r="F105" s="21"/>
      <c r="G105" s="4"/>
      <c r="H105" s="4"/>
      <c r="I105" s="4"/>
      <c r="J105" s="4"/>
      <c r="K105" s="4"/>
      <c r="L105" s="15"/>
    </row>
    <row r="106" spans="2:12" ht="18.75" x14ac:dyDescent="0.3">
      <c r="B106" s="15"/>
      <c r="C106" s="21"/>
      <c r="D106" s="34"/>
      <c r="E106" s="4"/>
      <c r="F106" s="21"/>
      <c r="G106" s="4"/>
      <c r="H106" s="4"/>
      <c r="I106" s="4"/>
      <c r="J106" s="4"/>
      <c r="K106" s="4"/>
      <c r="L106" s="15"/>
    </row>
    <row r="107" spans="2:12" ht="18.75" x14ac:dyDescent="0.3">
      <c r="B107" s="15"/>
      <c r="C107" s="21"/>
      <c r="D107" s="34"/>
      <c r="E107" s="4"/>
      <c r="F107" s="21"/>
      <c r="G107" s="4"/>
      <c r="H107" s="4"/>
      <c r="I107" s="4"/>
      <c r="J107" s="4"/>
      <c r="K107" s="4"/>
      <c r="L107" s="15"/>
    </row>
    <row r="108" spans="2:12" ht="18.75" x14ac:dyDescent="0.3">
      <c r="B108" s="15"/>
      <c r="C108" s="21"/>
      <c r="D108" s="34"/>
      <c r="E108" s="4"/>
      <c r="F108" s="21"/>
      <c r="G108" s="4"/>
      <c r="H108" s="4"/>
      <c r="I108" s="4"/>
      <c r="J108" s="4"/>
      <c r="K108" s="4"/>
      <c r="L108" s="15"/>
    </row>
    <row r="109" spans="2:12" ht="18.75" x14ac:dyDescent="0.3">
      <c r="B109" s="15"/>
      <c r="C109" s="21"/>
      <c r="D109" s="34"/>
      <c r="E109" s="4"/>
      <c r="F109" s="21"/>
      <c r="G109" s="4"/>
      <c r="H109" s="4"/>
      <c r="I109" s="4"/>
      <c r="J109" s="4"/>
      <c r="K109" s="4"/>
      <c r="L109" s="15"/>
    </row>
    <row r="110" spans="2:12" ht="18.75" x14ac:dyDescent="0.3">
      <c r="B110" s="15"/>
      <c r="C110" s="21"/>
      <c r="D110" s="34"/>
      <c r="E110" s="4"/>
      <c r="F110" s="21"/>
      <c r="G110" s="4"/>
      <c r="H110" s="4"/>
      <c r="I110" s="4"/>
      <c r="J110" s="4"/>
      <c r="K110" s="4"/>
      <c r="L110" s="15"/>
    </row>
    <row r="111" spans="2:12" ht="18.75" x14ac:dyDescent="0.3">
      <c r="B111" s="15"/>
      <c r="C111" s="21"/>
      <c r="D111" s="34"/>
      <c r="E111" s="4"/>
      <c r="F111" s="21"/>
      <c r="G111" s="4"/>
      <c r="H111" s="4"/>
      <c r="I111" s="4"/>
      <c r="J111" s="4"/>
      <c r="K111" s="4"/>
      <c r="L111" s="15"/>
    </row>
    <row r="112" spans="2:12" ht="18.75" x14ac:dyDescent="0.3">
      <c r="B112" s="15"/>
      <c r="C112" s="21"/>
      <c r="D112" s="34"/>
      <c r="E112" s="4"/>
      <c r="F112" s="21"/>
      <c r="G112" s="4"/>
      <c r="H112" s="4"/>
      <c r="I112" s="4"/>
      <c r="J112" s="4"/>
      <c r="K112" s="4"/>
      <c r="L112" s="15"/>
    </row>
    <row r="113" spans="2:12" ht="18.75" x14ac:dyDescent="0.3">
      <c r="B113" s="15"/>
      <c r="C113" s="21"/>
      <c r="D113" s="34"/>
      <c r="E113" s="4"/>
      <c r="F113" s="21"/>
      <c r="G113" s="4"/>
      <c r="H113" s="4"/>
      <c r="I113" s="4"/>
      <c r="J113" s="4"/>
      <c r="K113" s="4"/>
      <c r="L113" s="15"/>
    </row>
    <row r="114" spans="2:12" ht="18.75" x14ac:dyDescent="0.3">
      <c r="B114" s="15"/>
      <c r="C114" s="21"/>
      <c r="D114" s="34"/>
      <c r="E114" s="4"/>
      <c r="F114" s="21"/>
      <c r="G114" s="4"/>
      <c r="H114" s="4"/>
      <c r="I114" s="4"/>
      <c r="J114" s="4"/>
      <c r="K114" s="4"/>
      <c r="L114" s="15"/>
    </row>
    <row r="115" spans="2:12" ht="18.75" x14ac:dyDescent="0.3">
      <c r="B115" s="17"/>
      <c r="C115" s="22"/>
      <c r="D115" s="22"/>
      <c r="E115" s="22"/>
      <c r="F115" s="22"/>
      <c r="G115" s="4"/>
      <c r="H115" s="4"/>
      <c r="I115" s="4"/>
      <c r="J115" s="4"/>
      <c r="K115" s="4"/>
      <c r="L115" s="17"/>
    </row>
    <row r="116" spans="2:12" ht="18.75" x14ac:dyDescent="0.3">
      <c r="B116" s="15"/>
      <c r="C116" s="4"/>
      <c r="D116" s="4"/>
      <c r="E116" s="4"/>
      <c r="F116" s="4"/>
      <c r="G116" s="4"/>
      <c r="H116" s="4"/>
      <c r="I116" s="4"/>
      <c r="J116" s="4"/>
      <c r="K116" s="4"/>
      <c r="L116" s="15"/>
    </row>
    <row r="117" spans="2:12" ht="18.75" x14ac:dyDescent="0.25"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19"/>
    </row>
    <row r="118" spans="2:12" ht="18.75" x14ac:dyDescent="0.3">
      <c r="B118" s="35"/>
      <c r="C118" s="36"/>
      <c r="D118" s="36"/>
      <c r="E118" s="37"/>
      <c r="F118" s="36"/>
      <c r="G118" s="4"/>
      <c r="H118" s="4"/>
      <c r="I118" s="4"/>
      <c r="J118" s="4"/>
      <c r="K118" s="4"/>
      <c r="L118" s="35"/>
    </row>
    <row r="119" spans="2:12" ht="18.75" x14ac:dyDescent="0.3">
      <c r="B119" s="35"/>
      <c r="C119" s="36"/>
      <c r="D119" s="36"/>
      <c r="E119" s="37"/>
      <c r="F119" s="36"/>
      <c r="G119" s="4"/>
      <c r="H119" s="4"/>
      <c r="I119" s="4"/>
      <c r="J119" s="4"/>
      <c r="K119" s="4"/>
      <c r="L119" s="35"/>
    </row>
    <row r="120" spans="2:12" ht="18.75" x14ac:dyDescent="0.3">
      <c r="B120" s="35"/>
      <c r="C120" s="36"/>
      <c r="D120" s="36"/>
      <c r="E120" s="37"/>
      <c r="F120" s="36"/>
      <c r="G120" s="4"/>
      <c r="H120" s="4"/>
      <c r="I120" s="4"/>
      <c r="J120" s="4"/>
      <c r="K120" s="4"/>
      <c r="L120" s="35"/>
    </row>
    <row r="121" spans="2:12" ht="18.75" x14ac:dyDescent="0.3">
      <c r="B121" s="35"/>
      <c r="C121" s="36"/>
      <c r="D121" s="36"/>
      <c r="E121" s="37"/>
      <c r="F121" s="36"/>
      <c r="G121" s="4"/>
      <c r="H121" s="4"/>
      <c r="I121" s="4"/>
      <c r="J121" s="4"/>
      <c r="K121" s="4"/>
      <c r="L121" s="35"/>
    </row>
    <row r="122" spans="2:12" ht="18.75" x14ac:dyDescent="0.3">
      <c r="B122" s="35"/>
      <c r="C122" s="36"/>
      <c r="D122" s="36"/>
      <c r="E122" s="37"/>
      <c r="F122" s="36"/>
      <c r="G122" s="4"/>
      <c r="H122" s="4"/>
      <c r="I122" s="4"/>
      <c r="J122" s="4"/>
      <c r="K122" s="4"/>
      <c r="L122" s="35"/>
    </row>
    <row r="123" spans="2:12" ht="18.75" x14ac:dyDescent="0.3">
      <c r="B123" s="35"/>
      <c r="C123" s="36"/>
      <c r="D123" s="36"/>
      <c r="E123" s="37"/>
      <c r="F123" s="36"/>
      <c r="G123" s="4"/>
      <c r="H123" s="4"/>
      <c r="I123" s="4"/>
      <c r="J123" s="4"/>
      <c r="K123" s="4"/>
      <c r="L123" s="35"/>
    </row>
    <row r="124" spans="2:12" ht="18.75" x14ac:dyDescent="0.3">
      <c r="B124" s="35"/>
      <c r="C124" s="36"/>
      <c r="D124" s="36"/>
      <c r="E124" s="37"/>
      <c r="F124" s="36"/>
      <c r="G124" s="4"/>
      <c r="H124" s="4"/>
      <c r="I124" s="4"/>
      <c r="J124" s="4"/>
      <c r="K124" s="4"/>
      <c r="L124" s="35"/>
    </row>
    <row r="125" spans="2:12" ht="18.75" x14ac:dyDescent="0.3">
      <c r="B125" s="35"/>
      <c r="C125" s="36"/>
      <c r="D125" s="36"/>
      <c r="E125" s="37"/>
      <c r="F125" s="36"/>
      <c r="G125" s="4"/>
      <c r="H125" s="4"/>
      <c r="I125" s="4"/>
      <c r="J125" s="4"/>
      <c r="K125" s="4"/>
      <c r="L125" s="35"/>
    </row>
    <row r="126" spans="2:12" ht="18.75" x14ac:dyDescent="0.3">
      <c r="B126" s="35"/>
      <c r="C126" s="36"/>
      <c r="D126" s="36"/>
      <c r="E126" s="37"/>
      <c r="F126" s="36"/>
      <c r="G126" s="4"/>
      <c r="H126" s="4"/>
      <c r="I126" s="4"/>
      <c r="J126" s="4"/>
      <c r="K126" s="4"/>
      <c r="L126" s="35"/>
    </row>
    <row r="127" spans="2:12" ht="18.75" x14ac:dyDescent="0.3">
      <c r="B127" s="35"/>
      <c r="C127" s="36"/>
      <c r="D127" s="36"/>
      <c r="E127" s="37"/>
      <c r="F127" s="36"/>
      <c r="G127" s="4"/>
      <c r="H127" s="4"/>
      <c r="I127" s="4"/>
      <c r="J127" s="4"/>
      <c r="K127" s="4"/>
      <c r="L127" s="35"/>
    </row>
    <row r="128" spans="2:12" ht="18.75" x14ac:dyDescent="0.3">
      <c r="B128" s="35"/>
      <c r="C128" s="36"/>
      <c r="D128" s="36"/>
      <c r="E128" s="37"/>
      <c r="F128" s="36"/>
      <c r="G128" s="4"/>
      <c r="H128" s="4"/>
      <c r="I128" s="4"/>
      <c r="J128" s="4"/>
      <c r="K128" s="4"/>
      <c r="L128" s="35"/>
    </row>
    <row r="129" spans="2:12" ht="18.75" x14ac:dyDescent="0.3">
      <c r="B129" s="35"/>
      <c r="C129" s="36"/>
      <c r="D129" s="36"/>
      <c r="E129" s="37"/>
      <c r="F129" s="36"/>
      <c r="G129" s="4"/>
      <c r="H129" s="4"/>
      <c r="I129" s="4"/>
      <c r="J129" s="4"/>
      <c r="K129" s="4"/>
      <c r="L129" s="35"/>
    </row>
    <row r="130" spans="2:12" ht="18.75" x14ac:dyDescent="0.3">
      <c r="B130" s="17"/>
      <c r="C130" s="38"/>
      <c r="D130" s="38"/>
      <c r="E130" s="38"/>
      <c r="F130" s="38"/>
      <c r="G130" s="4"/>
      <c r="H130" s="4"/>
      <c r="I130" s="4"/>
      <c r="J130" s="4"/>
      <c r="K130" s="4"/>
      <c r="L130" s="17"/>
    </row>
    <row r="131" spans="2:12" ht="18.75" x14ac:dyDescent="0.3">
      <c r="B131" s="25"/>
      <c r="C131" s="4"/>
      <c r="D131" s="4"/>
      <c r="E131" s="4"/>
      <c r="F131" s="4"/>
      <c r="G131" s="4"/>
      <c r="H131" s="4"/>
      <c r="I131" s="4"/>
      <c r="J131" s="4"/>
      <c r="K131" s="4"/>
      <c r="L131" s="25"/>
    </row>
    <row r="132" spans="2:12" ht="18.75" x14ac:dyDescent="0.25"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19"/>
    </row>
    <row r="133" spans="2:12" ht="18.75" x14ac:dyDescent="0.3">
      <c r="B133" s="15"/>
      <c r="C133" s="16"/>
      <c r="D133" s="16"/>
      <c r="E133" s="4"/>
      <c r="F133" s="16"/>
      <c r="G133" s="4"/>
      <c r="H133" s="4"/>
      <c r="I133" s="4"/>
      <c r="J133" s="4"/>
      <c r="K133" s="4"/>
      <c r="L133" s="15"/>
    </row>
    <row r="134" spans="2:12" ht="18.75" x14ac:dyDescent="0.3">
      <c r="B134" s="15"/>
      <c r="C134" s="16"/>
      <c r="D134" s="16"/>
      <c r="E134" s="4"/>
      <c r="F134" s="16"/>
      <c r="G134" s="4"/>
      <c r="H134" s="4"/>
      <c r="I134" s="4"/>
      <c r="J134" s="4"/>
      <c r="K134" s="4"/>
      <c r="L134" s="15"/>
    </row>
    <row r="135" spans="2:12" ht="18.75" x14ac:dyDescent="0.3">
      <c r="B135" s="15"/>
      <c r="C135" s="16"/>
      <c r="D135" s="16"/>
      <c r="E135" s="4"/>
      <c r="F135" s="16"/>
      <c r="G135" s="4"/>
      <c r="H135" s="4"/>
      <c r="I135" s="4"/>
      <c r="J135" s="4"/>
      <c r="K135" s="4"/>
      <c r="L135" s="15"/>
    </row>
    <row r="136" spans="2:12" ht="18.75" x14ac:dyDescent="0.3">
      <c r="B136" s="15"/>
      <c r="C136" s="16"/>
      <c r="D136" s="16"/>
      <c r="E136" s="4"/>
      <c r="F136" s="16"/>
      <c r="G136" s="4"/>
      <c r="H136" s="4"/>
      <c r="I136" s="4"/>
      <c r="J136" s="4"/>
      <c r="K136" s="4"/>
      <c r="L136" s="15"/>
    </row>
    <row r="137" spans="2:12" ht="18.75" x14ac:dyDescent="0.3">
      <c r="B137" s="15"/>
      <c r="C137" s="16"/>
      <c r="D137" s="16"/>
      <c r="E137" s="4"/>
      <c r="F137" s="16"/>
      <c r="G137" s="4"/>
      <c r="H137" s="4"/>
      <c r="I137" s="4"/>
      <c r="J137" s="4"/>
      <c r="K137" s="4"/>
      <c r="L137" s="15"/>
    </row>
    <row r="138" spans="2:12" ht="18.75" x14ac:dyDescent="0.3">
      <c r="B138" s="15"/>
      <c r="C138" s="16"/>
      <c r="D138" s="16"/>
      <c r="E138" s="4"/>
      <c r="F138" s="16"/>
      <c r="G138" s="4"/>
      <c r="H138" s="4"/>
      <c r="I138" s="4"/>
      <c r="J138" s="4"/>
      <c r="K138" s="4"/>
      <c r="L138" s="15"/>
    </row>
    <row r="139" spans="2:12" ht="18.75" x14ac:dyDescent="0.3">
      <c r="B139" s="15"/>
      <c r="C139" s="16"/>
      <c r="D139" s="16"/>
      <c r="E139" s="4"/>
      <c r="F139" s="16"/>
      <c r="G139" s="4"/>
      <c r="H139" s="4"/>
      <c r="I139" s="4"/>
      <c r="J139" s="4"/>
      <c r="K139" s="4"/>
      <c r="L139" s="15"/>
    </row>
    <row r="140" spans="2:12" ht="18.75" x14ac:dyDescent="0.3">
      <c r="B140" s="15"/>
      <c r="C140" s="16"/>
      <c r="D140" s="16"/>
      <c r="E140" s="4"/>
      <c r="F140" s="16"/>
      <c r="G140" s="4"/>
      <c r="H140" s="4"/>
      <c r="I140" s="4"/>
      <c r="J140" s="4"/>
      <c r="K140" s="4"/>
      <c r="L140" s="15"/>
    </row>
    <row r="141" spans="2:12" ht="18.75" x14ac:dyDescent="0.3">
      <c r="B141" s="15"/>
      <c r="C141" s="16"/>
      <c r="D141" s="16"/>
      <c r="E141" s="4"/>
      <c r="F141" s="16"/>
      <c r="G141" s="4"/>
      <c r="H141" s="4"/>
      <c r="I141" s="4"/>
      <c r="J141" s="4"/>
      <c r="K141" s="4"/>
      <c r="L141" s="15"/>
    </row>
    <row r="142" spans="2:12" ht="18.75" x14ac:dyDescent="0.3">
      <c r="B142" s="15"/>
      <c r="C142" s="16"/>
      <c r="D142" s="16"/>
      <c r="E142" s="4"/>
      <c r="F142" s="16"/>
      <c r="G142" s="4"/>
      <c r="H142" s="4"/>
      <c r="I142" s="4"/>
      <c r="J142" s="4"/>
      <c r="K142" s="4"/>
      <c r="L142" s="15"/>
    </row>
    <row r="143" spans="2:12" ht="18.75" x14ac:dyDescent="0.3">
      <c r="B143" s="15"/>
      <c r="C143" s="16"/>
      <c r="D143" s="16"/>
      <c r="E143" s="4"/>
      <c r="F143" s="16"/>
      <c r="G143" s="4"/>
      <c r="H143" s="4"/>
      <c r="I143" s="4"/>
      <c r="J143" s="4"/>
      <c r="K143" s="4"/>
      <c r="L143" s="15"/>
    </row>
    <row r="144" spans="2:12" ht="18.75" x14ac:dyDescent="0.3">
      <c r="B144" s="15"/>
      <c r="C144" s="16"/>
      <c r="D144" s="16"/>
      <c r="E144" s="4"/>
      <c r="F144" s="16"/>
      <c r="G144" s="4"/>
      <c r="H144" s="4"/>
      <c r="I144" s="4"/>
      <c r="J144" s="4"/>
      <c r="K144" s="4"/>
      <c r="L144" s="15"/>
    </row>
    <row r="145" spans="2:12" ht="18.75" x14ac:dyDescent="0.3">
      <c r="B145" s="17"/>
      <c r="C145" s="18"/>
      <c r="D145" s="18"/>
      <c r="E145" s="18"/>
      <c r="F145" s="18"/>
      <c r="G145" s="4"/>
      <c r="H145" s="4"/>
      <c r="I145" s="4"/>
      <c r="J145" s="4"/>
      <c r="K145" s="4"/>
      <c r="L145" s="17"/>
    </row>
    <row r="146" spans="2:12" ht="18.75" x14ac:dyDescent="0.3">
      <c r="B146" s="17"/>
      <c r="C146" s="18"/>
      <c r="D146" s="18"/>
      <c r="E146" s="18"/>
      <c r="F146" s="18"/>
      <c r="G146" s="4"/>
      <c r="H146" s="4"/>
      <c r="I146" s="4"/>
      <c r="J146" s="4"/>
      <c r="K146" s="4"/>
      <c r="L146" s="17"/>
    </row>
    <row r="147" spans="2:12" ht="18.75" x14ac:dyDescent="0.3">
      <c r="B147" s="17"/>
      <c r="C147" s="18"/>
      <c r="D147" s="18"/>
      <c r="E147" s="18"/>
      <c r="F147" s="18"/>
      <c r="G147" s="4"/>
      <c r="H147" s="4"/>
      <c r="I147" s="4"/>
      <c r="J147" s="4"/>
      <c r="K147" s="4"/>
      <c r="L147" s="17"/>
    </row>
    <row r="148" spans="2:12" ht="18.75" x14ac:dyDescent="0.3">
      <c r="B148" s="25"/>
      <c r="C148" s="4"/>
      <c r="D148" s="4"/>
      <c r="E148" s="4"/>
      <c r="F148" s="4"/>
      <c r="G148" s="4"/>
      <c r="H148" s="4"/>
      <c r="I148" s="4"/>
      <c r="J148" s="4"/>
      <c r="K148" s="4"/>
      <c r="L148" s="25"/>
    </row>
    <row r="149" spans="2:12" ht="18.75" x14ac:dyDescent="0.25"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19"/>
    </row>
    <row r="150" spans="2:12" ht="18.75" x14ac:dyDescent="0.3">
      <c r="B150" s="15"/>
      <c r="C150" s="16"/>
      <c r="D150" s="16"/>
      <c r="E150" s="16"/>
      <c r="F150" s="16"/>
      <c r="G150" s="4"/>
      <c r="H150" s="4"/>
      <c r="I150" s="4"/>
      <c r="J150" s="4"/>
      <c r="K150" s="4"/>
      <c r="L150" s="15"/>
    </row>
    <row r="151" spans="2:12" ht="18.75" x14ac:dyDescent="0.3">
      <c r="B151" s="15"/>
      <c r="C151" s="16"/>
      <c r="D151" s="16"/>
      <c r="E151" s="16"/>
      <c r="F151" s="16"/>
      <c r="G151" s="4"/>
      <c r="H151" s="4"/>
      <c r="I151" s="4"/>
      <c r="J151" s="4"/>
      <c r="K151" s="4"/>
      <c r="L151" s="15"/>
    </row>
    <row r="152" spans="2:12" ht="18.75" x14ac:dyDescent="0.3">
      <c r="B152" s="15"/>
      <c r="C152" s="16"/>
      <c r="D152" s="16"/>
      <c r="E152" s="16"/>
      <c r="F152" s="16"/>
      <c r="G152" s="4"/>
      <c r="H152" s="4"/>
      <c r="I152" s="4"/>
      <c r="J152" s="4"/>
      <c r="K152" s="4"/>
      <c r="L152" s="15"/>
    </row>
    <row r="153" spans="2:12" ht="18.75" x14ac:dyDescent="0.3">
      <c r="B153" s="15"/>
      <c r="C153" s="16"/>
      <c r="D153" s="16"/>
      <c r="E153" s="16"/>
      <c r="F153" s="16"/>
      <c r="G153" s="4"/>
      <c r="H153" s="4"/>
      <c r="I153" s="4"/>
      <c r="J153" s="4"/>
      <c r="K153" s="4"/>
      <c r="L153" s="15"/>
    </row>
    <row r="154" spans="2:12" ht="18.75" x14ac:dyDescent="0.3">
      <c r="B154" s="15"/>
      <c r="C154" s="16"/>
      <c r="D154" s="16"/>
      <c r="E154" s="16"/>
      <c r="F154" s="16"/>
      <c r="G154" s="4"/>
      <c r="H154" s="4"/>
      <c r="I154" s="4"/>
      <c r="J154" s="4"/>
      <c r="K154" s="4"/>
      <c r="L154" s="15"/>
    </row>
    <row r="155" spans="2:12" ht="18.75" x14ac:dyDescent="0.3">
      <c r="B155" s="15"/>
      <c r="C155" s="16"/>
      <c r="D155" s="16"/>
      <c r="E155" s="16"/>
      <c r="F155" s="16"/>
      <c r="G155" s="4"/>
      <c r="H155" s="4"/>
      <c r="I155" s="4"/>
      <c r="J155" s="4"/>
      <c r="K155" s="4"/>
      <c r="L155" s="15"/>
    </row>
    <row r="156" spans="2:12" ht="18.75" x14ac:dyDescent="0.3">
      <c r="B156" s="15"/>
      <c r="C156" s="16"/>
      <c r="D156" s="16"/>
      <c r="E156" s="16"/>
      <c r="F156" s="16"/>
      <c r="G156" s="4"/>
      <c r="H156" s="4"/>
      <c r="I156" s="4"/>
      <c r="J156" s="4"/>
      <c r="K156" s="4"/>
      <c r="L156" s="15"/>
    </row>
    <row r="157" spans="2:12" ht="18.75" x14ac:dyDescent="0.3">
      <c r="B157" s="15"/>
      <c r="C157" s="16"/>
      <c r="D157" s="16"/>
      <c r="E157" s="16"/>
      <c r="F157" s="16"/>
      <c r="G157" s="4"/>
      <c r="H157" s="4"/>
      <c r="I157" s="4"/>
      <c r="J157" s="4"/>
      <c r="K157" s="4"/>
      <c r="L157" s="15"/>
    </row>
    <row r="158" spans="2:12" ht="18.75" x14ac:dyDescent="0.3">
      <c r="B158" s="15"/>
      <c r="C158" s="16"/>
      <c r="D158" s="16"/>
      <c r="E158" s="16"/>
      <c r="F158" s="16"/>
      <c r="G158" s="4"/>
      <c r="H158" s="4"/>
      <c r="I158" s="4"/>
      <c r="J158" s="4"/>
      <c r="K158" s="4"/>
      <c r="L158" s="15"/>
    </row>
    <row r="159" spans="2:12" ht="18.75" x14ac:dyDescent="0.3">
      <c r="B159" s="15"/>
      <c r="C159" s="16"/>
      <c r="D159" s="16"/>
      <c r="E159" s="16"/>
      <c r="F159" s="16"/>
      <c r="G159" s="4"/>
      <c r="H159" s="4"/>
      <c r="I159" s="4"/>
      <c r="J159" s="4"/>
      <c r="K159" s="4"/>
      <c r="L159" s="15"/>
    </row>
    <row r="160" spans="2:12" ht="18.75" x14ac:dyDescent="0.3">
      <c r="B160" s="15"/>
      <c r="C160" s="16"/>
      <c r="D160" s="16"/>
      <c r="E160" s="16"/>
      <c r="F160" s="16"/>
      <c r="G160" s="4"/>
      <c r="H160" s="4"/>
      <c r="I160" s="4"/>
      <c r="J160" s="4"/>
      <c r="K160" s="4"/>
      <c r="L160" s="15"/>
    </row>
    <row r="161" spans="2:12" ht="18.75" x14ac:dyDescent="0.3">
      <c r="B161" s="15"/>
      <c r="C161" s="16"/>
      <c r="D161" s="16"/>
      <c r="E161" s="16"/>
      <c r="F161" s="16"/>
      <c r="G161" s="4"/>
      <c r="H161" s="4"/>
      <c r="I161" s="4"/>
      <c r="J161" s="4"/>
      <c r="K161" s="4"/>
      <c r="L161" s="15"/>
    </row>
    <row r="162" spans="2:12" ht="18.75" x14ac:dyDescent="0.3">
      <c r="B162" s="17"/>
      <c r="C162" s="18"/>
      <c r="D162" s="18"/>
      <c r="E162" s="18"/>
      <c r="F162" s="18"/>
      <c r="G162" s="4"/>
      <c r="H162" s="4"/>
      <c r="I162" s="4"/>
      <c r="J162" s="4"/>
      <c r="K162" s="4"/>
      <c r="L162" s="17"/>
    </row>
    <row r="163" spans="2:12" ht="18.75" x14ac:dyDescent="0.25"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19"/>
    </row>
    <row r="164" spans="2:12" ht="18.75" x14ac:dyDescent="0.3">
      <c r="B164" s="15"/>
      <c r="C164" s="39"/>
      <c r="D164" s="39"/>
      <c r="E164" s="39"/>
      <c r="F164" s="39"/>
      <c r="G164" s="39"/>
      <c r="H164" s="39"/>
      <c r="I164" s="39"/>
      <c r="J164" s="39"/>
      <c r="K164" s="39"/>
      <c r="L164" s="15"/>
    </row>
    <row r="165" spans="2:12" ht="18.75" x14ac:dyDescent="0.3">
      <c r="B165" s="15"/>
      <c r="C165" s="39"/>
      <c r="D165" s="39"/>
      <c r="E165" s="39"/>
      <c r="F165" s="39"/>
      <c r="G165" s="39"/>
      <c r="H165" s="39"/>
      <c r="I165" s="39"/>
      <c r="J165" s="39"/>
      <c r="K165" s="39"/>
      <c r="L165" s="15"/>
    </row>
    <row r="166" spans="2:12" ht="18.75" x14ac:dyDescent="0.3">
      <c r="B166" s="15"/>
      <c r="C166" s="39"/>
      <c r="D166" s="39"/>
      <c r="E166" s="39"/>
      <c r="F166" s="39"/>
      <c r="G166" s="39"/>
      <c r="H166" s="39"/>
      <c r="I166" s="39"/>
      <c r="J166" s="39"/>
      <c r="K166" s="39"/>
      <c r="L166" s="15"/>
    </row>
    <row r="167" spans="2:12" ht="18.75" x14ac:dyDescent="0.3">
      <c r="B167" s="15"/>
      <c r="C167" s="21"/>
      <c r="D167" s="21"/>
      <c r="E167" s="4"/>
      <c r="F167" s="4"/>
      <c r="G167" s="4"/>
      <c r="H167" s="4"/>
      <c r="I167" s="4"/>
      <c r="J167" s="4"/>
      <c r="K167" s="4"/>
      <c r="L167" s="15"/>
    </row>
    <row r="168" spans="2:12" ht="18.75" x14ac:dyDescent="0.3">
      <c r="B168" s="15"/>
      <c r="C168" s="21"/>
      <c r="D168" s="21"/>
      <c r="E168" s="4"/>
      <c r="F168" s="4"/>
      <c r="G168" s="4"/>
      <c r="H168" s="4"/>
      <c r="I168" s="4"/>
      <c r="J168" s="4"/>
      <c r="K168" s="4"/>
      <c r="L168" s="15"/>
    </row>
    <row r="169" spans="2:12" ht="18.75" x14ac:dyDescent="0.3">
      <c r="B169" s="15"/>
      <c r="C169" s="21"/>
      <c r="D169" s="21"/>
      <c r="E169" s="4"/>
      <c r="F169" s="4"/>
      <c r="G169" s="4"/>
      <c r="H169" s="4"/>
      <c r="I169" s="4"/>
      <c r="J169" s="4"/>
      <c r="K169" s="4"/>
      <c r="L169" s="15"/>
    </row>
    <row r="170" spans="2:12" ht="18.75" x14ac:dyDescent="0.3">
      <c r="B170" s="15"/>
      <c r="C170" s="21"/>
      <c r="D170" s="21"/>
      <c r="E170" s="4"/>
      <c r="F170" s="4"/>
      <c r="G170" s="4"/>
      <c r="H170" s="4"/>
      <c r="I170" s="4"/>
      <c r="J170" s="4"/>
      <c r="K170" s="4"/>
      <c r="L170" s="15"/>
    </row>
    <row r="171" spans="2:12" ht="18.75" x14ac:dyDescent="0.3">
      <c r="B171" s="15"/>
      <c r="C171" s="21"/>
      <c r="D171" s="21"/>
      <c r="E171" s="4"/>
      <c r="F171" s="4"/>
      <c r="G171" s="4"/>
      <c r="H171" s="4"/>
      <c r="I171" s="4"/>
      <c r="J171" s="4"/>
      <c r="K171" s="4"/>
      <c r="L171" s="15"/>
    </row>
    <row r="172" spans="2:12" ht="18.75" x14ac:dyDescent="0.3">
      <c r="B172" s="15"/>
      <c r="C172" s="21"/>
      <c r="D172" s="21"/>
      <c r="E172" s="4"/>
      <c r="F172" s="4"/>
      <c r="G172" s="4"/>
      <c r="H172" s="4"/>
      <c r="I172" s="4"/>
      <c r="J172" s="4"/>
      <c r="K172" s="4"/>
      <c r="L172" s="15"/>
    </row>
    <row r="173" spans="2:12" ht="18.75" x14ac:dyDescent="0.3">
      <c r="B173" s="15"/>
      <c r="C173" s="21"/>
      <c r="D173" s="21"/>
      <c r="E173" s="4"/>
      <c r="F173" s="4"/>
      <c r="G173" s="4"/>
      <c r="H173" s="4"/>
      <c r="I173" s="4"/>
      <c r="J173" s="4"/>
      <c r="K173" s="4"/>
      <c r="L173" s="15"/>
    </row>
    <row r="174" spans="2:12" ht="18.75" x14ac:dyDescent="0.3">
      <c r="B174" s="15"/>
      <c r="C174" s="21"/>
      <c r="D174" s="21"/>
      <c r="E174" s="4"/>
      <c r="F174" s="4"/>
      <c r="G174" s="4"/>
      <c r="H174" s="4"/>
      <c r="I174" s="4"/>
      <c r="J174" s="4"/>
      <c r="K174" s="4"/>
      <c r="L174" s="15"/>
    </row>
    <row r="175" spans="2:12" ht="18.75" x14ac:dyDescent="0.3">
      <c r="B175" s="15"/>
      <c r="C175" s="21"/>
      <c r="D175" s="21"/>
      <c r="E175" s="4"/>
      <c r="F175" s="4"/>
      <c r="G175" s="4"/>
      <c r="H175" s="4"/>
      <c r="I175" s="4"/>
      <c r="J175" s="4"/>
      <c r="K175" s="4"/>
      <c r="L175" s="15"/>
    </row>
    <row r="176" spans="2:12" ht="18.75" x14ac:dyDescent="0.3">
      <c r="B176" s="17"/>
      <c r="C176" s="18"/>
      <c r="D176" s="18"/>
      <c r="E176" s="18"/>
      <c r="F176" s="18"/>
      <c r="G176" s="4"/>
      <c r="H176" s="4"/>
      <c r="I176" s="4"/>
      <c r="J176" s="4"/>
      <c r="K176" s="4"/>
      <c r="L176" s="17"/>
    </row>
    <row r="177" spans="2:12" ht="18.75" x14ac:dyDescent="0.3">
      <c r="B177" s="25"/>
      <c r="C177" s="4"/>
      <c r="D177" s="4"/>
      <c r="E177" s="4"/>
      <c r="F177" s="4"/>
      <c r="G177" s="4"/>
      <c r="H177" s="4"/>
      <c r="I177" s="4"/>
      <c r="J177" s="4"/>
      <c r="K177" s="4"/>
      <c r="L177" s="25"/>
    </row>
    <row r="178" spans="2:12" ht="18.75" x14ac:dyDescent="0.25"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19"/>
    </row>
    <row r="179" spans="2:12" ht="18.75" x14ac:dyDescent="0.3">
      <c r="B179" s="25"/>
      <c r="C179" s="40"/>
      <c r="D179" s="16"/>
      <c r="E179" s="16"/>
      <c r="F179" s="16"/>
      <c r="G179" s="41"/>
      <c r="H179" s="41"/>
      <c r="I179" s="41"/>
      <c r="J179" s="41"/>
      <c r="K179" s="41"/>
      <c r="L179" s="25"/>
    </row>
    <row r="180" spans="2:12" ht="18.75" x14ac:dyDescent="0.3">
      <c r="B180" s="25"/>
      <c r="C180" s="40"/>
      <c r="D180" s="16"/>
      <c r="E180" s="16"/>
      <c r="F180" s="16"/>
      <c r="G180" s="42"/>
      <c r="H180" s="42"/>
      <c r="I180" s="42"/>
      <c r="J180" s="42"/>
      <c r="K180" s="42"/>
      <c r="L180" s="25"/>
    </row>
    <row r="181" spans="2:12" ht="18.75" x14ac:dyDescent="0.3">
      <c r="B181" s="25"/>
      <c r="C181" s="40"/>
      <c r="D181" s="16"/>
      <c r="E181" s="16"/>
      <c r="F181" s="16"/>
      <c r="G181" s="42"/>
      <c r="H181" s="42"/>
      <c r="I181" s="42"/>
      <c r="J181" s="42"/>
      <c r="K181" s="42"/>
      <c r="L181" s="25"/>
    </row>
    <row r="182" spans="2:12" ht="18.75" x14ac:dyDescent="0.3">
      <c r="B182" s="25"/>
      <c r="C182" s="40"/>
      <c r="D182" s="16"/>
      <c r="E182" s="16"/>
      <c r="F182" s="16"/>
      <c r="G182" s="42"/>
      <c r="H182" s="42"/>
      <c r="I182" s="42"/>
      <c r="J182" s="42"/>
      <c r="K182" s="42"/>
      <c r="L182" s="25"/>
    </row>
    <row r="183" spans="2:12" ht="18.75" x14ac:dyDescent="0.3">
      <c r="B183" s="25"/>
      <c r="C183" s="40"/>
      <c r="D183" s="16"/>
      <c r="E183" s="16"/>
      <c r="F183" s="16"/>
      <c r="G183" s="42"/>
      <c r="H183" s="42"/>
      <c r="I183" s="42"/>
      <c r="J183" s="42"/>
      <c r="K183" s="42"/>
      <c r="L183" s="25"/>
    </row>
    <row r="184" spans="2:12" ht="18.75" x14ac:dyDescent="0.3">
      <c r="B184" s="25"/>
      <c r="C184" s="40"/>
      <c r="D184" s="16"/>
      <c r="E184" s="16"/>
      <c r="F184" s="16"/>
      <c r="G184" s="42"/>
      <c r="H184" s="42"/>
      <c r="I184" s="42"/>
      <c r="J184" s="42"/>
      <c r="K184" s="42"/>
      <c r="L184" s="25"/>
    </row>
    <row r="185" spans="2:12" ht="18.75" x14ac:dyDescent="0.3">
      <c r="B185" s="25"/>
      <c r="C185" s="40"/>
      <c r="D185" s="16"/>
      <c r="E185" s="16"/>
      <c r="F185" s="16"/>
      <c r="G185" s="42"/>
      <c r="H185" s="42"/>
      <c r="I185" s="42"/>
      <c r="J185" s="42"/>
      <c r="K185" s="42"/>
      <c r="L185" s="25"/>
    </row>
    <row r="186" spans="2:12" ht="18.75" x14ac:dyDescent="0.3">
      <c r="B186" s="25"/>
      <c r="C186" s="40"/>
      <c r="D186" s="16"/>
      <c r="E186" s="16"/>
      <c r="F186" s="16"/>
      <c r="G186" s="42"/>
      <c r="H186" s="42"/>
      <c r="I186" s="42"/>
      <c r="J186" s="42"/>
      <c r="K186" s="42"/>
      <c r="L186" s="25"/>
    </row>
    <row r="187" spans="2:12" ht="18.75" x14ac:dyDescent="0.3">
      <c r="B187" s="25"/>
      <c r="C187" s="40"/>
      <c r="D187" s="16"/>
      <c r="E187" s="16"/>
      <c r="F187" s="16"/>
      <c r="G187" s="42"/>
      <c r="H187" s="42"/>
      <c r="I187" s="42"/>
      <c r="J187" s="42"/>
      <c r="K187" s="42"/>
      <c r="L187" s="25"/>
    </row>
    <row r="188" spans="2:12" ht="18.75" x14ac:dyDescent="0.3">
      <c r="B188" s="25"/>
      <c r="C188" s="40"/>
      <c r="D188" s="16"/>
      <c r="E188" s="16"/>
      <c r="F188" s="16"/>
      <c r="G188" s="42"/>
      <c r="H188" s="42"/>
      <c r="I188" s="42"/>
      <c r="J188" s="42"/>
      <c r="K188" s="42"/>
      <c r="L188" s="25"/>
    </row>
    <row r="189" spans="2:12" ht="18.75" x14ac:dyDescent="0.3">
      <c r="B189" s="25"/>
      <c r="C189" s="40"/>
      <c r="D189" s="16"/>
      <c r="E189" s="16"/>
      <c r="F189" s="16"/>
      <c r="G189" s="42"/>
      <c r="H189" s="42"/>
      <c r="I189" s="42"/>
      <c r="J189" s="42"/>
      <c r="K189" s="42"/>
      <c r="L189" s="25"/>
    </row>
    <row r="190" spans="2:12" ht="18.75" x14ac:dyDescent="0.3">
      <c r="B190" s="25"/>
      <c r="C190" s="40"/>
      <c r="D190" s="16"/>
      <c r="E190" s="16"/>
      <c r="F190" s="16"/>
      <c r="G190" s="42"/>
      <c r="H190" s="42"/>
      <c r="I190" s="42"/>
      <c r="J190" s="42"/>
      <c r="K190" s="42"/>
      <c r="L190" s="25"/>
    </row>
    <row r="191" spans="2:12" ht="18.75" x14ac:dyDescent="0.3">
      <c r="B191" s="17"/>
      <c r="C191" s="18"/>
      <c r="D191" s="18"/>
      <c r="E191" s="18"/>
      <c r="F191" s="18"/>
      <c r="G191" s="4"/>
      <c r="H191" s="4"/>
      <c r="I191" s="4"/>
      <c r="J191" s="4"/>
      <c r="K191" s="4"/>
      <c r="L191" s="17"/>
    </row>
    <row r="192" spans="2:12" ht="18.75" x14ac:dyDescent="0.3">
      <c r="B192" s="17"/>
      <c r="C192" s="18"/>
      <c r="D192" s="18"/>
      <c r="E192" s="18"/>
      <c r="F192" s="18"/>
      <c r="G192" s="4"/>
      <c r="H192" s="4"/>
      <c r="I192" s="4"/>
      <c r="J192" s="4"/>
      <c r="K192" s="4"/>
      <c r="L192" s="17"/>
    </row>
    <row r="193" spans="2:12" ht="18.75" x14ac:dyDescent="0.25"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19"/>
    </row>
    <row r="194" spans="2:12" ht="18.75" x14ac:dyDescent="0.3">
      <c r="B194" s="15"/>
      <c r="C194" s="16"/>
      <c r="D194" s="16"/>
      <c r="E194" s="4"/>
      <c r="F194" s="21"/>
      <c r="G194" s="4"/>
      <c r="H194" s="4"/>
      <c r="I194" s="4"/>
      <c r="J194" s="4"/>
      <c r="K194" s="4"/>
      <c r="L194" s="15"/>
    </row>
    <row r="195" spans="2:12" ht="18.75" x14ac:dyDescent="0.3">
      <c r="B195" s="15"/>
      <c r="C195" s="16"/>
      <c r="D195" s="16"/>
      <c r="E195" s="4"/>
      <c r="F195" s="21"/>
      <c r="G195" s="4"/>
      <c r="H195" s="4"/>
      <c r="I195" s="4"/>
      <c r="J195" s="4"/>
      <c r="K195" s="4"/>
      <c r="L195" s="15"/>
    </row>
    <row r="196" spans="2:12" ht="18.75" x14ac:dyDescent="0.3">
      <c r="B196" s="15"/>
      <c r="C196" s="16"/>
      <c r="D196" s="16"/>
      <c r="E196" s="4"/>
      <c r="F196" s="21"/>
      <c r="G196" s="4"/>
      <c r="H196" s="4"/>
      <c r="I196" s="4"/>
      <c r="J196" s="4"/>
      <c r="K196" s="4"/>
      <c r="L196" s="15"/>
    </row>
    <row r="197" spans="2:12" ht="18.75" x14ac:dyDescent="0.3">
      <c r="B197" s="15"/>
      <c r="C197" s="16"/>
      <c r="D197" s="16"/>
      <c r="E197" s="4"/>
      <c r="F197" s="4"/>
      <c r="G197" s="4"/>
      <c r="H197" s="4"/>
      <c r="I197" s="4"/>
      <c r="J197" s="4"/>
      <c r="K197" s="4"/>
      <c r="L197" s="15"/>
    </row>
    <row r="198" spans="2:12" ht="18.75" x14ac:dyDescent="0.3">
      <c r="B198" s="15"/>
      <c r="C198" s="16"/>
      <c r="D198" s="16"/>
      <c r="E198" s="4"/>
      <c r="F198" s="4"/>
      <c r="G198" s="4"/>
      <c r="H198" s="4"/>
      <c r="I198" s="4"/>
      <c r="J198" s="4"/>
      <c r="K198" s="4"/>
      <c r="L198" s="15"/>
    </row>
    <row r="199" spans="2:12" ht="18.75" x14ac:dyDescent="0.3">
      <c r="B199" s="15"/>
      <c r="C199" s="16"/>
      <c r="D199" s="16"/>
      <c r="E199" s="4"/>
      <c r="F199" s="4"/>
      <c r="G199" s="4"/>
      <c r="H199" s="4"/>
      <c r="I199" s="4"/>
      <c r="J199" s="4"/>
      <c r="K199" s="4"/>
      <c r="L199" s="15"/>
    </row>
    <row r="200" spans="2:12" ht="18.75" x14ac:dyDescent="0.3">
      <c r="B200" s="15"/>
      <c r="C200" s="16"/>
      <c r="D200" s="16"/>
      <c r="E200" s="4"/>
      <c r="F200" s="4"/>
      <c r="G200" s="4"/>
      <c r="H200" s="4"/>
      <c r="I200" s="4"/>
      <c r="J200" s="4"/>
      <c r="K200" s="4"/>
      <c r="L200" s="15"/>
    </row>
    <row r="201" spans="2:12" ht="18.75" x14ac:dyDescent="0.3">
      <c r="B201" s="15"/>
      <c r="C201" s="16"/>
      <c r="D201" s="16"/>
      <c r="E201" s="4"/>
      <c r="F201" s="4"/>
      <c r="G201" s="4"/>
      <c r="H201" s="4"/>
      <c r="I201" s="4"/>
      <c r="J201" s="4"/>
      <c r="K201" s="4"/>
      <c r="L201" s="15"/>
    </row>
    <row r="202" spans="2:12" ht="18.75" x14ac:dyDescent="0.3">
      <c r="B202" s="15"/>
      <c r="C202" s="16"/>
      <c r="D202" s="16"/>
      <c r="E202" s="4"/>
      <c r="F202" s="4"/>
      <c r="G202" s="4"/>
      <c r="H202" s="4"/>
      <c r="I202" s="4"/>
      <c r="J202" s="4"/>
      <c r="K202" s="4"/>
      <c r="L202" s="15"/>
    </row>
    <row r="203" spans="2:12" ht="18.75" x14ac:dyDescent="0.3">
      <c r="B203" s="15"/>
      <c r="C203" s="16"/>
      <c r="D203" s="16"/>
      <c r="E203" s="4"/>
      <c r="F203" s="4"/>
      <c r="G203" s="4"/>
      <c r="H203" s="4"/>
      <c r="I203" s="4"/>
      <c r="J203" s="4"/>
      <c r="K203" s="4"/>
      <c r="L203" s="15"/>
    </row>
    <row r="204" spans="2:12" ht="18.75" x14ac:dyDescent="0.3">
      <c r="B204" s="15"/>
      <c r="C204" s="16"/>
      <c r="D204" s="16"/>
      <c r="E204" s="4"/>
      <c r="F204" s="4"/>
      <c r="G204" s="4"/>
      <c r="H204" s="4"/>
      <c r="I204" s="4"/>
      <c r="J204" s="4"/>
      <c r="K204" s="4"/>
      <c r="L204" s="15"/>
    </row>
    <row r="205" spans="2:12" ht="18.75" x14ac:dyDescent="0.3">
      <c r="B205" s="15"/>
      <c r="C205" s="16"/>
      <c r="D205" s="16"/>
      <c r="E205" s="4"/>
      <c r="F205" s="4"/>
      <c r="G205" s="4"/>
      <c r="H205" s="4"/>
      <c r="I205" s="4"/>
      <c r="J205" s="4"/>
      <c r="K205" s="4"/>
      <c r="L205" s="15"/>
    </row>
    <row r="206" spans="2:12" ht="18.75" x14ac:dyDescent="0.3">
      <c r="B206" s="17"/>
      <c r="C206" s="18"/>
      <c r="D206" s="18"/>
      <c r="E206" s="18"/>
      <c r="F206" s="18"/>
      <c r="G206" s="4"/>
      <c r="H206" s="4"/>
      <c r="I206" s="4"/>
      <c r="J206" s="4"/>
      <c r="K206" s="4"/>
      <c r="L206" s="17"/>
    </row>
    <row r="207" spans="2:12" ht="18.75" x14ac:dyDescent="0.3">
      <c r="B207" s="25"/>
      <c r="C207" s="4"/>
      <c r="D207" s="4"/>
      <c r="E207" s="4"/>
      <c r="F207" s="4"/>
      <c r="G207" s="4"/>
      <c r="H207" s="4"/>
      <c r="I207" s="4"/>
      <c r="J207" s="4"/>
      <c r="K207" s="4"/>
      <c r="L207" s="25"/>
    </row>
    <row r="208" spans="2:12" ht="18.75" x14ac:dyDescent="0.3">
      <c r="B208" s="25"/>
      <c r="C208" s="4"/>
      <c r="D208" s="4"/>
      <c r="E208" s="4"/>
      <c r="F208" s="4"/>
      <c r="G208" s="4"/>
      <c r="H208" s="4"/>
      <c r="I208" s="4"/>
      <c r="J208" s="4"/>
      <c r="K208" s="4"/>
      <c r="L208" s="25"/>
    </row>
    <row r="209" spans="2:12" ht="18.75" x14ac:dyDescent="0.3">
      <c r="B209" s="33"/>
      <c r="C209" s="4"/>
      <c r="D209" s="4"/>
      <c r="E209" s="4"/>
      <c r="F209" s="4"/>
      <c r="G209" s="4"/>
      <c r="H209" s="4"/>
      <c r="I209" s="4"/>
      <c r="J209" s="4"/>
      <c r="K209" s="4"/>
      <c r="L209" s="33"/>
    </row>
    <row r="210" spans="2:12" ht="18.75" x14ac:dyDescent="0.3">
      <c r="B210" s="25"/>
      <c r="C210" s="4"/>
      <c r="D210" s="4"/>
      <c r="E210" s="4"/>
      <c r="F210" s="4"/>
      <c r="G210" s="4"/>
      <c r="H210" s="4"/>
      <c r="I210" s="4"/>
      <c r="J210" s="4"/>
      <c r="K210" s="4"/>
      <c r="L210" s="25"/>
    </row>
    <row r="211" spans="2:12" ht="18.75" x14ac:dyDescent="0.25"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19"/>
    </row>
    <row r="212" spans="2:12" ht="18.75" x14ac:dyDescent="0.3">
      <c r="B212" s="43"/>
      <c r="C212" s="44"/>
      <c r="D212" s="16"/>
      <c r="E212" s="16"/>
      <c r="F212" s="16"/>
      <c r="G212" s="45"/>
      <c r="H212" s="45"/>
      <c r="I212" s="45"/>
      <c r="J212" s="45"/>
      <c r="K212" s="45"/>
      <c r="L212" s="43"/>
    </row>
    <row r="213" spans="2:12" ht="18.75" x14ac:dyDescent="0.3">
      <c r="B213" s="43"/>
      <c r="C213" s="44"/>
      <c r="D213" s="16"/>
      <c r="E213" s="16"/>
      <c r="F213" s="16"/>
      <c r="G213" s="45"/>
      <c r="H213" s="45"/>
      <c r="I213" s="45"/>
      <c r="J213" s="45"/>
      <c r="K213" s="45"/>
      <c r="L213" s="43"/>
    </row>
    <row r="214" spans="2:12" ht="18.75" x14ac:dyDescent="0.3">
      <c r="B214" s="43"/>
      <c r="C214" s="44"/>
      <c r="D214" s="16"/>
      <c r="E214" s="16"/>
      <c r="F214" s="16"/>
      <c r="G214" s="45"/>
      <c r="H214" s="45"/>
      <c r="I214" s="45"/>
      <c r="J214" s="45"/>
      <c r="K214" s="45"/>
      <c r="L214" s="43"/>
    </row>
    <row r="215" spans="2:12" ht="18.75" x14ac:dyDescent="0.3">
      <c r="B215" s="43"/>
      <c r="C215" s="44"/>
      <c r="D215" s="4"/>
      <c r="E215" s="4"/>
      <c r="F215" s="16"/>
      <c r="G215" s="45"/>
      <c r="H215" s="45"/>
      <c r="I215" s="45"/>
      <c r="J215" s="45"/>
      <c r="K215" s="45"/>
      <c r="L215" s="43"/>
    </row>
    <row r="216" spans="2:12" ht="18.75" x14ac:dyDescent="0.3">
      <c r="B216" s="43"/>
      <c r="C216" s="44"/>
      <c r="D216" s="4"/>
      <c r="E216" s="4"/>
      <c r="F216" s="16"/>
      <c r="G216" s="32"/>
      <c r="H216" s="32"/>
      <c r="I216" s="32"/>
      <c r="J216" s="32"/>
      <c r="K216" s="32"/>
      <c r="L216" s="43"/>
    </row>
    <row r="217" spans="2:12" ht="18.75" x14ac:dyDescent="0.3">
      <c r="B217" s="43"/>
      <c r="C217" s="44"/>
      <c r="D217" s="4"/>
      <c r="E217" s="4"/>
      <c r="F217" s="16"/>
      <c r="G217" s="32"/>
      <c r="H217" s="32"/>
      <c r="I217" s="32"/>
      <c r="J217" s="32"/>
      <c r="K217" s="32"/>
      <c r="L217" s="43"/>
    </row>
    <row r="218" spans="2:12" ht="18.75" x14ac:dyDescent="0.3">
      <c r="B218" s="43"/>
      <c r="C218" s="44"/>
      <c r="D218" s="4"/>
      <c r="E218" s="4"/>
      <c r="F218" s="16"/>
      <c r="G218" s="32"/>
      <c r="H218" s="32"/>
      <c r="I218" s="32"/>
      <c r="J218" s="32"/>
      <c r="K218" s="32"/>
      <c r="L218" s="43"/>
    </row>
    <row r="219" spans="2:12" ht="18.75" x14ac:dyDescent="0.3">
      <c r="B219" s="43"/>
      <c r="C219" s="44"/>
      <c r="D219" s="4"/>
      <c r="E219" s="4"/>
      <c r="F219" s="16"/>
      <c r="G219" s="32"/>
      <c r="H219" s="32"/>
      <c r="I219" s="32"/>
      <c r="J219" s="32"/>
      <c r="K219" s="32"/>
      <c r="L219" s="43"/>
    </row>
    <row r="220" spans="2:12" ht="18.75" x14ac:dyDescent="0.3">
      <c r="B220" s="43"/>
      <c r="C220" s="44"/>
      <c r="D220" s="4"/>
      <c r="E220" s="4"/>
      <c r="F220" s="16"/>
      <c r="G220" s="32"/>
      <c r="H220" s="32"/>
      <c r="I220" s="32"/>
      <c r="J220" s="32"/>
      <c r="K220" s="32"/>
      <c r="L220" s="43"/>
    </row>
    <row r="221" spans="2:12" ht="18.75" x14ac:dyDescent="0.3">
      <c r="B221" s="43"/>
      <c r="C221" s="44"/>
      <c r="D221" s="4"/>
      <c r="E221" s="4"/>
      <c r="F221" s="16"/>
      <c r="G221" s="32"/>
      <c r="H221" s="32"/>
      <c r="I221" s="32"/>
      <c r="J221" s="32"/>
      <c r="K221" s="32"/>
      <c r="L221" s="43"/>
    </row>
    <row r="222" spans="2:12" ht="18.75" x14ac:dyDescent="0.3">
      <c r="B222" s="43"/>
      <c r="C222" s="44"/>
      <c r="D222" s="4"/>
      <c r="E222" s="4"/>
      <c r="F222" s="16"/>
      <c r="G222" s="32"/>
      <c r="H222" s="32"/>
      <c r="I222" s="32"/>
      <c r="J222" s="32"/>
      <c r="K222" s="32"/>
      <c r="L222" s="43"/>
    </row>
    <row r="223" spans="2:12" ht="18.75" x14ac:dyDescent="0.3">
      <c r="B223" s="43"/>
      <c r="C223" s="44"/>
      <c r="D223" s="4"/>
      <c r="E223" s="4"/>
      <c r="F223" s="16"/>
      <c r="G223" s="32"/>
      <c r="H223" s="32"/>
      <c r="I223" s="32"/>
      <c r="J223" s="32"/>
      <c r="K223" s="32"/>
      <c r="L223" s="43"/>
    </row>
    <row r="224" spans="2:12" ht="18.75" x14ac:dyDescent="0.3">
      <c r="B224" s="17"/>
      <c r="C224" s="18"/>
      <c r="D224" s="18"/>
      <c r="E224" s="18"/>
      <c r="F224" s="18"/>
      <c r="G224" s="4"/>
      <c r="H224" s="4"/>
      <c r="I224" s="4"/>
      <c r="J224" s="4"/>
      <c r="K224" s="4"/>
      <c r="L224" s="17"/>
    </row>
    <row r="225" spans="2:12" ht="18.75" x14ac:dyDescent="0.3">
      <c r="B225" s="25"/>
      <c r="C225" s="4"/>
      <c r="D225" s="4"/>
      <c r="E225" s="4"/>
      <c r="F225" s="4"/>
      <c r="G225" s="4"/>
      <c r="H225" s="4"/>
      <c r="I225" s="4"/>
      <c r="J225" s="4"/>
      <c r="K225" s="4"/>
      <c r="L225" s="25"/>
    </row>
    <row r="226" spans="2:12" ht="18.75" x14ac:dyDescent="0.25"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19"/>
    </row>
    <row r="227" spans="2:12" ht="18.75" x14ac:dyDescent="0.3">
      <c r="B227" s="15"/>
      <c r="C227" s="46"/>
      <c r="D227" s="47"/>
      <c r="E227" s="47"/>
      <c r="F227" s="46"/>
      <c r="G227" s="4"/>
      <c r="H227" s="4"/>
      <c r="I227" s="4"/>
      <c r="J227" s="4"/>
      <c r="K227" s="4"/>
      <c r="L227" s="15"/>
    </row>
    <row r="228" spans="2:12" ht="18.75" x14ac:dyDescent="0.3">
      <c r="B228" s="15"/>
      <c r="C228" s="46"/>
      <c r="D228" s="47"/>
      <c r="E228" s="47"/>
      <c r="F228" s="46"/>
      <c r="G228" s="4"/>
      <c r="H228" s="4"/>
      <c r="I228" s="4"/>
      <c r="J228" s="4"/>
      <c r="K228" s="4"/>
      <c r="L228" s="15"/>
    </row>
    <row r="229" spans="2:12" ht="18.75" x14ac:dyDescent="0.3">
      <c r="B229" s="15"/>
      <c r="C229" s="46"/>
      <c r="D229" s="47"/>
      <c r="E229" s="47"/>
      <c r="F229" s="46"/>
      <c r="G229" s="4"/>
      <c r="H229" s="4"/>
      <c r="I229" s="4"/>
      <c r="J229" s="4"/>
      <c r="K229" s="4"/>
      <c r="L229" s="15"/>
    </row>
    <row r="230" spans="2:12" ht="18.75" x14ac:dyDescent="0.3">
      <c r="B230" s="15"/>
      <c r="C230" s="46"/>
      <c r="D230" s="46"/>
      <c r="E230" s="47"/>
      <c r="F230" s="46"/>
      <c r="G230" s="4"/>
      <c r="H230" s="4"/>
      <c r="I230" s="4"/>
      <c r="J230" s="4"/>
      <c r="K230" s="4"/>
      <c r="L230" s="15"/>
    </row>
    <row r="231" spans="2:12" ht="18.75" x14ac:dyDescent="0.3">
      <c r="B231" s="15"/>
      <c r="C231" s="47"/>
      <c r="D231" s="47"/>
      <c r="E231" s="47"/>
      <c r="F231" s="47"/>
      <c r="G231" s="4"/>
      <c r="H231" s="4"/>
      <c r="I231" s="4"/>
      <c r="J231" s="4"/>
      <c r="K231" s="4"/>
      <c r="L231" s="15"/>
    </row>
    <row r="232" spans="2:12" ht="18.75" x14ac:dyDescent="0.3">
      <c r="B232" s="15"/>
      <c r="C232" s="47"/>
      <c r="D232" s="47"/>
      <c r="E232" s="47"/>
      <c r="F232" s="47"/>
      <c r="G232" s="4"/>
      <c r="H232" s="4"/>
      <c r="I232" s="4"/>
      <c r="J232" s="4"/>
      <c r="K232" s="4"/>
      <c r="L232" s="15"/>
    </row>
    <row r="233" spans="2:12" ht="18.75" x14ac:dyDescent="0.3">
      <c r="B233" s="15"/>
      <c r="C233" s="47"/>
      <c r="D233" s="47"/>
      <c r="E233" s="47"/>
      <c r="F233" s="47"/>
      <c r="G233" s="4"/>
      <c r="H233" s="4"/>
      <c r="I233" s="4"/>
      <c r="J233" s="4"/>
      <c r="K233" s="4"/>
      <c r="L233" s="15"/>
    </row>
    <row r="234" spans="2:12" ht="18.75" x14ac:dyDescent="0.3">
      <c r="B234" s="15"/>
      <c r="C234" s="47"/>
      <c r="D234" s="47"/>
      <c r="E234" s="47"/>
      <c r="F234" s="47"/>
      <c r="G234" s="4"/>
      <c r="H234" s="4"/>
      <c r="I234" s="4"/>
      <c r="J234" s="4"/>
      <c r="K234" s="4"/>
      <c r="L234" s="15"/>
    </row>
    <row r="235" spans="2:12" ht="18.75" x14ac:dyDescent="0.3">
      <c r="B235" s="15"/>
      <c r="C235" s="47"/>
      <c r="D235" s="47"/>
      <c r="E235" s="47"/>
      <c r="F235" s="47"/>
      <c r="G235" s="4"/>
      <c r="H235" s="4"/>
      <c r="I235" s="4"/>
      <c r="J235" s="4"/>
      <c r="K235" s="4"/>
      <c r="L235" s="15"/>
    </row>
    <row r="236" spans="2:12" ht="18.75" x14ac:dyDescent="0.3">
      <c r="B236" s="15"/>
      <c r="C236" s="47"/>
      <c r="D236" s="47"/>
      <c r="E236" s="47"/>
      <c r="F236" s="47"/>
      <c r="G236" s="4"/>
      <c r="H236" s="4"/>
      <c r="I236" s="4"/>
      <c r="J236" s="4"/>
      <c r="K236" s="4"/>
      <c r="L236" s="15"/>
    </row>
    <row r="237" spans="2:12" ht="18.75" x14ac:dyDescent="0.3">
      <c r="B237" s="15"/>
      <c r="C237" s="47"/>
      <c r="D237" s="47"/>
      <c r="E237" s="47"/>
      <c r="F237" s="47"/>
      <c r="G237" s="4"/>
      <c r="H237" s="4"/>
      <c r="I237" s="4"/>
      <c r="J237" s="4"/>
      <c r="K237" s="4"/>
      <c r="L237" s="15"/>
    </row>
    <row r="238" spans="2:12" ht="18.75" x14ac:dyDescent="0.3">
      <c r="B238" s="15"/>
      <c r="C238" s="47"/>
      <c r="D238" s="47"/>
      <c r="E238" s="47"/>
      <c r="F238" s="47"/>
      <c r="G238" s="4"/>
      <c r="H238" s="4"/>
      <c r="I238" s="4"/>
      <c r="J238" s="4"/>
      <c r="K238" s="4"/>
      <c r="L238" s="15"/>
    </row>
    <row r="239" spans="2:12" ht="18.75" x14ac:dyDescent="0.3">
      <c r="B239" s="17"/>
      <c r="C239" s="18"/>
      <c r="D239" s="18"/>
      <c r="E239" s="18"/>
      <c r="F239" s="18"/>
      <c r="G239" s="4"/>
      <c r="H239" s="4"/>
      <c r="I239" s="4"/>
      <c r="J239" s="4"/>
      <c r="K239" s="4"/>
      <c r="L239" s="17"/>
    </row>
    <row r="240" spans="2:12" ht="18.75" x14ac:dyDescent="0.3">
      <c r="B240" s="25"/>
      <c r="C240" s="4"/>
      <c r="D240" s="4"/>
      <c r="E240" s="4"/>
      <c r="F240" s="4"/>
      <c r="G240" s="4"/>
      <c r="H240" s="4"/>
      <c r="I240" s="4"/>
      <c r="J240" s="4"/>
      <c r="K240" s="4"/>
      <c r="L240" s="25"/>
    </row>
    <row r="241" spans="2:30" ht="18.75" x14ac:dyDescent="0.25"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19"/>
    </row>
    <row r="242" spans="2:30" ht="18.75" x14ac:dyDescent="0.3">
      <c r="B242" s="15"/>
      <c r="C242" s="16"/>
      <c r="D242" s="16"/>
      <c r="E242" s="16"/>
      <c r="F242" s="16"/>
      <c r="G242" s="26"/>
      <c r="H242" s="26"/>
      <c r="I242" s="26"/>
      <c r="J242" s="26"/>
      <c r="K242" s="26"/>
      <c r="L242" s="15"/>
    </row>
    <row r="243" spans="2:30" ht="18.75" x14ac:dyDescent="0.3">
      <c r="B243" s="15"/>
      <c r="C243" s="16"/>
      <c r="D243" s="16"/>
      <c r="E243" s="16"/>
      <c r="F243" s="16"/>
      <c r="G243" s="26"/>
      <c r="H243" s="26"/>
      <c r="I243" s="26"/>
      <c r="J243" s="26"/>
      <c r="K243" s="26"/>
      <c r="L243" s="1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2:30" ht="18.75" x14ac:dyDescent="0.3">
      <c r="B244" s="15"/>
      <c r="C244" s="16"/>
      <c r="D244" s="16"/>
      <c r="E244" s="16"/>
      <c r="F244" s="16"/>
      <c r="G244" s="26"/>
      <c r="H244" s="26"/>
      <c r="I244" s="26"/>
      <c r="J244" s="26"/>
      <c r="K244" s="26"/>
      <c r="L244" s="1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2:30" ht="18.75" x14ac:dyDescent="0.3">
      <c r="B245" s="15"/>
      <c r="C245" s="16"/>
      <c r="D245" s="16"/>
      <c r="E245" s="16"/>
      <c r="F245" s="16"/>
      <c r="G245" s="26"/>
      <c r="H245" s="26"/>
      <c r="I245" s="26"/>
      <c r="J245" s="26"/>
      <c r="K245" s="26"/>
      <c r="L245" s="1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2:30" ht="18.75" x14ac:dyDescent="0.3">
      <c r="B246" s="15"/>
      <c r="C246" s="16"/>
      <c r="D246" s="16"/>
      <c r="E246" s="16"/>
      <c r="F246" s="16"/>
      <c r="G246" s="26"/>
      <c r="H246" s="26"/>
      <c r="I246" s="26"/>
      <c r="J246" s="26"/>
      <c r="K246" s="26"/>
      <c r="L246" s="1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2:30" ht="18.75" x14ac:dyDescent="0.3">
      <c r="B247" s="15"/>
      <c r="C247" s="16"/>
      <c r="D247" s="16"/>
      <c r="E247" s="16"/>
      <c r="F247" s="16"/>
      <c r="G247" s="26"/>
      <c r="H247" s="26"/>
      <c r="I247" s="26"/>
      <c r="J247" s="26"/>
      <c r="K247" s="26"/>
      <c r="L247" s="1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2:30" ht="18.75" x14ac:dyDescent="0.3">
      <c r="B248" s="15"/>
      <c r="C248" s="16"/>
      <c r="D248" s="16"/>
      <c r="E248" s="16"/>
      <c r="F248" s="16"/>
      <c r="G248" s="26"/>
      <c r="H248" s="26"/>
      <c r="I248" s="26"/>
      <c r="J248" s="26"/>
      <c r="K248" s="26"/>
      <c r="L248" s="1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2:30" ht="18.75" x14ac:dyDescent="0.3">
      <c r="B249" s="15"/>
      <c r="C249" s="16"/>
      <c r="D249" s="16"/>
      <c r="E249" s="16"/>
      <c r="F249" s="16"/>
      <c r="G249" s="26"/>
      <c r="H249" s="26"/>
      <c r="I249" s="26"/>
      <c r="J249" s="26"/>
      <c r="K249" s="26"/>
      <c r="L249" s="1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2:30" ht="18.75" x14ac:dyDescent="0.3">
      <c r="B250" s="15"/>
      <c r="C250" s="16"/>
      <c r="D250" s="16"/>
      <c r="E250" s="16"/>
      <c r="F250" s="16"/>
      <c r="G250" s="26"/>
      <c r="H250" s="26"/>
      <c r="I250" s="26"/>
      <c r="J250" s="26"/>
      <c r="K250" s="26"/>
      <c r="L250" s="1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2:30" ht="18.75" x14ac:dyDescent="0.3">
      <c r="B251" s="15"/>
      <c r="C251" s="16"/>
      <c r="D251" s="16"/>
      <c r="E251" s="16"/>
      <c r="F251" s="16"/>
      <c r="G251" s="26"/>
      <c r="H251" s="26"/>
      <c r="I251" s="26"/>
      <c r="J251" s="26"/>
      <c r="K251" s="26"/>
      <c r="L251" s="1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2:30" ht="18.75" x14ac:dyDescent="0.3">
      <c r="B252" s="15"/>
      <c r="C252" s="16"/>
      <c r="D252" s="16"/>
      <c r="E252" s="16"/>
      <c r="F252" s="16"/>
      <c r="G252" s="26"/>
      <c r="H252" s="26"/>
      <c r="I252" s="26"/>
      <c r="J252" s="26"/>
      <c r="K252" s="26"/>
      <c r="L252" s="1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2:30" ht="18.75" x14ac:dyDescent="0.3">
      <c r="B253" s="15"/>
      <c r="C253" s="16"/>
      <c r="D253" s="16"/>
      <c r="E253" s="16"/>
      <c r="F253" s="16"/>
      <c r="G253" s="26"/>
      <c r="H253" s="26"/>
      <c r="I253" s="26"/>
      <c r="J253" s="26"/>
      <c r="K253" s="26"/>
      <c r="L253" s="1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2:30" ht="18.75" x14ac:dyDescent="0.3">
      <c r="B254" s="17"/>
      <c r="C254" s="18"/>
      <c r="D254" s="18"/>
      <c r="E254" s="18"/>
      <c r="F254" s="18"/>
      <c r="G254" s="4"/>
      <c r="H254" s="4"/>
      <c r="I254" s="4"/>
      <c r="J254" s="4"/>
      <c r="K254" s="4"/>
      <c r="L254" s="1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2:30" ht="18.75" x14ac:dyDescent="0.3">
      <c r="B255" s="25"/>
      <c r="C255" s="4"/>
      <c r="D255" s="4"/>
      <c r="E255" s="4"/>
      <c r="F255" s="4"/>
      <c r="G255" s="4"/>
      <c r="H255" s="4"/>
      <c r="I255" s="4"/>
      <c r="J255" s="4"/>
      <c r="K255" s="4"/>
      <c r="L255" s="2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2:30" ht="18.75" x14ac:dyDescent="0.3"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19"/>
      <c r="M256" s="48"/>
      <c r="N256" s="31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32"/>
    </row>
    <row r="257" spans="2:30" ht="18.75" x14ac:dyDescent="0.3">
      <c r="B257" s="15"/>
      <c r="C257" s="50"/>
      <c r="D257" s="50"/>
      <c r="E257" s="40"/>
      <c r="F257" s="50"/>
      <c r="G257" s="40"/>
      <c r="H257" s="40"/>
      <c r="I257" s="40"/>
      <c r="J257" s="40"/>
      <c r="K257" s="40"/>
      <c r="L257" s="15"/>
      <c r="M257" s="48"/>
      <c r="N257" s="31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32"/>
    </row>
    <row r="258" spans="2:30" ht="18.75" x14ac:dyDescent="0.3">
      <c r="B258" s="15"/>
      <c r="C258" s="50"/>
      <c r="D258" s="50"/>
      <c r="E258" s="40"/>
      <c r="F258" s="50"/>
      <c r="G258" s="40"/>
      <c r="H258" s="40"/>
      <c r="I258" s="40"/>
      <c r="J258" s="40"/>
      <c r="K258" s="40"/>
      <c r="L258" s="15"/>
      <c r="M258" s="48"/>
      <c r="N258" s="31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32"/>
    </row>
    <row r="259" spans="2:30" ht="18.75" x14ac:dyDescent="0.3">
      <c r="B259" s="15"/>
      <c r="C259" s="50"/>
      <c r="D259" s="50"/>
      <c r="E259" s="40"/>
      <c r="F259" s="50"/>
      <c r="G259" s="40"/>
      <c r="H259" s="40"/>
      <c r="I259" s="40"/>
      <c r="J259" s="40"/>
      <c r="K259" s="40"/>
      <c r="L259" s="15"/>
      <c r="M259" s="48"/>
      <c r="N259" s="31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32"/>
    </row>
    <row r="260" spans="2:30" ht="18.75" x14ac:dyDescent="0.3">
      <c r="B260" s="15"/>
      <c r="C260" s="50"/>
      <c r="D260" s="50"/>
      <c r="E260" s="40"/>
      <c r="F260" s="50"/>
      <c r="G260" s="40"/>
      <c r="H260" s="40"/>
      <c r="I260" s="40"/>
      <c r="J260" s="40"/>
      <c r="K260" s="40"/>
      <c r="L260" s="15"/>
      <c r="M260" s="48"/>
      <c r="N260" s="31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32"/>
    </row>
    <row r="261" spans="2:30" ht="18.75" x14ac:dyDescent="0.3">
      <c r="B261" s="15"/>
      <c r="C261" s="50"/>
      <c r="D261" s="50"/>
      <c r="E261" s="40"/>
      <c r="F261" s="50"/>
      <c r="G261" s="40"/>
      <c r="H261" s="40"/>
      <c r="I261" s="40"/>
      <c r="J261" s="40"/>
      <c r="K261" s="40"/>
      <c r="L261" s="15"/>
      <c r="M261" s="48"/>
      <c r="N261" s="31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32"/>
    </row>
    <row r="262" spans="2:30" ht="18.75" x14ac:dyDescent="0.3">
      <c r="B262" s="15"/>
      <c r="C262" s="50"/>
      <c r="D262" s="50"/>
      <c r="E262" s="40"/>
      <c r="F262" s="50"/>
      <c r="G262" s="40"/>
      <c r="H262" s="40"/>
      <c r="I262" s="40"/>
      <c r="J262" s="40"/>
      <c r="K262" s="40"/>
      <c r="L262" s="15"/>
      <c r="M262" s="48"/>
      <c r="N262" s="31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32"/>
    </row>
    <row r="263" spans="2:30" ht="18.75" x14ac:dyDescent="0.3">
      <c r="B263" s="15"/>
      <c r="C263" s="50"/>
      <c r="D263" s="50"/>
      <c r="E263" s="40"/>
      <c r="F263" s="50"/>
      <c r="G263" s="40"/>
      <c r="H263" s="40"/>
      <c r="I263" s="40"/>
      <c r="J263" s="40"/>
      <c r="K263" s="40"/>
      <c r="L263" s="15"/>
      <c r="M263" s="48"/>
      <c r="N263" s="31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32"/>
    </row>
    <row r="264" spans="2:30" ht="18.75" x14ac:dyDescent="0.3">
      <c r="B264" s="15"/>
      <c r="C264" s="50"/>
      <c r="D264" s="50"/>
      <c r="E264" s="40"/>
      <c r="F264" s="50"/>
      <c r="G264" s="40"/>
      <c r="H264" s="40"/>
      <c r="I264" s="40"/>
      <c r="J264" s="40"/>
      <c r="K264" s="40"/>
      <c r="L264" s="15"/>
      <c r="M264" s="48"/>
      <c r="N264" s="31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32"/>
    </row>
    <row r="265" spans="2:30" ht="18.75" x14ac:dyDescent="0.3">
      <c r="B265" s="15"/>
      <c r="C265" s="50"/>
      <c r="D265" s="50"/>
      <c r="E265" s="40"/>
      <c r="F265" s="50"/>
      <c r="G265" s="40"/>
      <c r="H265" s="40"/>
      <c r="I265" s="40"/>
      <c r="J265" s="40"/>
      <c r="K265" s="40"/>
      <c r="L265" s="15"/>
      <c r="M265" s="48"/>
      <c r="N265" s="31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32"/>
    </row>
    <row r="266" spans="2:30" ht="18.75" x14ac:dyDescent="0.3">
      <c r="B266" s="15"/>
      <c r="C266" s="50"/>
      <c r="D266" s="50"/>
      <c r="E266" s="40"/>
      <c r="F266" s="50"/>
      <c r="G266" s="40"/>
      <c r="H266" s="40"/>
      <c r="I266" s="40"/>
      <c r="J266" s="40"/>
      <c r="K266" s="40"/>
      <c r="L266" s="15"/>
      <c r="M266" s="48"/>
      <c r="N266" s="31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32"/>
    </row>
    <row r="267" spans="2:30" ht="18.75" x14ac:dyDescent="0.3">
      <c r="B267" s="15"/>
      <c r="C267" s="50"/>
      <c r="D267" s="50"/>
      <c r="E267" s="40"/>
      <c r="F267" s="50"/>
      <c r="G267" s="40"/>
      <c r="H267" s="40"/>
      <c r="I267" s="40"/>
      <c r="J267" s="40"/>
      <c r="K267" s="40"/>
      <c r="L267" s="15"/>
      <c r="M267" s="48"/>
      <c r="N267" s="31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32"/>
    </row>
    <row r="268" spans="2:30" ht="18.75" x14ac:dyDescent="0.3">
      <c r="B268" s="15"/>
      <c r="C268" s="50"/>
      <c r="D268" s="50"/>
      <c r="E268" s="40"/>
      <c r="F268" s="50"/>
      <c r="G268" s="40"/>
      <c r="H268" s="40"/>
      <c r="I268" s="40"/>
      <c r="J268" s="40"/>
      <c r="K268" s="40"/>
      <c r="L268" s="1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2:30" ht="18.75" x14ac:dyDescent="0.3">
      <c r="B269" s="17"/>
      <c r="C269" s="18"/>
      <c r="D269" s="18"/>
      <c r="E269" s="18"/>
      <c r="F269" s="18"/>
      <c r="G269" s="4"/>
      <c r="H269" s="4"/>
      <c r="I269" s="4"/>
      <c r="J269" s="4"/>
      <c r="K269" s="4"/>
      <c r="L269" s="17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2:30" ht="18.75" x14ac:dyDescent="0.3">
      <c r="B270" s="25"/>
      <c r="C270" s="4"/>
      <c r="D270" s="4"/>
      <c r="E270" s="4"/>
      <c r="F270" s="4"/>
      <c r="G270" s="4"/>
      <c r="H270" s="4"/>
      <c r="I270" s="4"/>
      <c r="J270" s="4"/>
      <c r="K270" s="4"/>
      <c r="L270" s="2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2:30" ht="18.75" x14ac:dyDescent="0.25">
      <c r="B271" s="19"/>
      <c r="C271" s="20"/>
      <c r="D271" s="20"/>
      <c r="E271" s="20"/>
      <c r="F271" s="20"/>
      <c r="G271" s="20"/>
      <c r="H271" s="20"/>
      <c r="I271" s="20"/>
      <c r="J271" s="20"/>
      <c r="K271" s="20"/>
      <c r="L271" s="19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2:30" ht="18.75" x14ac:dyDescent="0.3">
      <c r="B272" s="15"/>
      <c r="C272" s="21"/>
      <c r="D272" s="4"/>
      <c r="E272" s="4"/>
      <c r="F272" s="4"/>
      <c r="G272" s="4"/>
      <c r="H272" s="4"/>
      <c r="I272" s="4"/>
      <c r="J272" s="4"/>
      <c r="K272" s="4"/>
      <c r="L272" s="1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2:30" ht="18.75" x14ac:dyDescent="0.3">
      <c r="B273" s="15"/>
      <c r="C273" s="21"/>
      <c r="D273" s="21"/>
      <c r="E273" s="4"/>
      <c r="F273" s="4"/>
      <c r="G273" s="4"/>
      <c r="H273" s="4"/>
      <c r="I273" s="4"/>
      <c r="J273" s="4"/>
      <c r="K273" s="4"/>
      <c r="L273" s="1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2:30" ht="18.75" x14ac:dyDescent="0.3">
      <c r="B274" s="15"/>
      <c r="C274" s="21"/>
      <c r="D274" s="4"/>
      <c r="E274" s="4"/>
      <c r="F274" s="4"/>
      <c r="G274" s="4"/>
      <c r="H274" s="4"/>
      <c r="I274" s="4"/>
      <c r="J274" s="4"/>
      <c r="K274" s="4"/>
      <c r="L274" s="1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2:30" ht="18.75" x14ac:dyDescent="0.3">
      <c r="B275" s="15"/>
      <c r="C275" s="4"/>
      <c r="D275" s="4"/>
      <c r="E275" s="4"/>
      <c r="F275" s="4"/>
      <c r="G275" s="4"/>
      <c r="H275" s="4"/>
      <c r="I275" s="4"/>
      <c r="J275" s="4"/>
      <c r="K275" s="4"/>
      <c r="L275" s="15"/>
    </row>
    <row r="276" spans="2:30" ht="18.75" x14ac:dyDescent="0.3">
      <c r="B276" s="15"/>
      <c r="C276" s="4"/>
      <c r="D276" s="4"/>
      <c r="E276" s="4"/>
      <c r="F276" s="4"/>
      <c r="G276" s="4"/>
      <c r="H276" s="4"/>
      <c r="I276" s="4"/>
      <c r="J276" s="4"/>
      <c r="K276" s="4"/>
      <c r="L276" s="15"/>
    </row>
    <row r="277" spans="2:30" ht="18.75" x14ac:dyDescent="0.3">
      <c r="B277" s="15"/>
      <c r="C277" s="4"/>
      <c r="D277" s="4"/>
      <c r="E277" s="4"/>
      <c r="F277" s="4"/>
      <c r="G277" s="4"/>
      <c r="H277" s="4"/>
      <c r="I277" s="4"/>
      <c r="J277" s="4"/>
      <c r="K277" s="4"/>
      <c r="L277" s="15"/>
    </row>
    <row r="278" spans="2:30" ht="18.75" x14ac:dyDescent="0.3">
      <c r="B278" s="15"/>
      <c r="C278" s="4"/>
      <c r="D278" s="4"/>
      <c r="E278" s="4"/>
      <c r="F278" s="4"/>
      <c r="G278" s="4"/>
      <c r="H278" s="4"/>
      <c r="I278" s="4"/>
      <c r="J278" s="4"/>
      <c r="K278" s="4"/>
      <c r="L278" s="15"/>
    </row>
    <row r="279" spans="2:30" ht="18.75" x14ac:dyDescent="0.3">
      <c r="B279" s="15"/>
      <c r="C279" s="4"/>
      <c r="D279" s="4"/>
      <c r="E279" s="4"/>
      <c r="F279" s="4"/>
      <c r="G279" s="4"/>
      <c r="H279" s="4"/>
      <c r="I279" s="4"/>
      <c r="J279" s="4"/>
      <c r="K279" s="4"/>
      <c r="L279" s="15"/>
    </row>
    <row r="280" spans="2:30" ht="18.75" x14ac:dyDescent="0.3">
      <c r="B280" s="15"/>
      <c r="C280" s="4"/>
      <c r="D280" s="4"/>
      <c r="E280" s="4"/>
      <c r="F280" s="4"/>
      <c r="G280" s="4"/>
      <c r="H280" s="4"/>
      <c r="I280" s="4"/>
      <c r="J280" s="4"/>
      <c r="K280" s="4"/>
      <c r="L280" s="15"/>
    </row>
    <row r="281" spans="2:30" ht="18.75" x14ac:dyDescent="0.3">
      <c r="B281" s="15"/>
      <c r="C281" s="4"/>
      <c r="D281" s="4"/>
      <c r="E281" s="4"/>
      <c r="F281" s="4"/>
      <c r="G281" s="4"/>
      <c r="H281" s="4"/>
      <c r="I281" s="4"/>
      <c r="J281" s="4"/>
      <c r="K281" s="4"/>
      <c r="L281" s="15"/>
    </row>
    <row r="282" spans="2:30" ht="18.75" x14ac:dyDescent="0.3">
      <c r="B282" s="15"/>
      <c r="C282" s="4"/>
      <c r="D282" s="4"/>
      <c r="E282" s="4"/>
      <c r="F282" s="4"/>
      <c r="G282" s="4"/>
      <c r="H282" s="4"/>
      <c r="I282" s="4"/>
      <c r="J282" s="4"/>
      <c r="K282" s="4"/>
      <c r="L282" s="15"/>
    </row>
    <row r="283" spans="2:30" ht="18.75" x14ac:dyDescent="0.3">
      <c r="B283" s="15"/>
      <c r="C283" s="4"/>
      <c r="D283" s="4"/>
      <c r="E283" s="4"/>
      <c r="F283" s="4"/>
      <c r="G283" s="4"/>
      <c r="H283" s="4"/>
      <c r="I283" s="4"/>
      <c r="J283" s="4"/>
      <c r="K283" s="4"/>
      <c r="L283" s="15"/>
    </row>
    <row r="284" spans="2:30" ht="18.75" x14ac:dyDescent="0.3">
      <c r="B284" s="17"/>
      <c r="C284" s="18"/>
      <c r="D284" s="18"/>
      <c r="E284" s="18"/>
      <c r="F284" s="18"/>
      <c r="G284" s="4"/>
      <c r="H284" s="4"/>
      <c r="I284" s="4"/>
      <c r="J284" s="4"/>
      <c r="K284" s="4"/>
      <c r="L284" s="17"/>
    </row>
    <row r="285" spans="2:30" ht="18.75" x14ac:dyDescent="0.3">
      <c r="B285" s="25"/>
      <c r="C285" s="4"/>
      <c r="D285" s="4"/>
      <c r="E285" s="4"/>
      <c r="F285" s="4"/>
      <c r="G285" s="4"/>
      <c r="H285" s="4"/>
      <c r="I285" s="4"/>
      <c r="J285" s="4"/>
      <c r="K285" s="4"/>
      <c r="L285" s="25"/>
    </row>
    <row r="286" spans="2:30" ht="18.75" x14ac:dyDescent="0.25">
      <c r="B286" s="19"/>
      <c r="C286" s="20"/>
      <c r="D286" s="20"/>
      <c r="E286" s="20"/>
      <c r="F286" s="20"/>
      <c r="G286" s="20"/>
      <c r="H286" s="20"/>
      <c r="I286" s="20"/>
      <c r="J286" s="20"/>
      <c r="K286" s="20"/>
      <c r="L286" s="19"/>
    </row>
    <row r="287" spans="2:30" ht="18.75" x14ac:dyDescent="0.3">
      <c r="B287" s="15"/>
      <c r="C287" s="47"/>
      <c r="D287" s="51"/>
      <c r="E287" s="4"/>
      <c r="F287" s="47"/>
      <c r="G287" s="32"/>
      <c r="H287" s="32"/>
      <c r="I287" s="32"/>
      <c r="J287" s="32"/>
      <c r="K287" s="32"/>
      <c r="L287" s="15"/>
    </row>
    <row r="288" spans="2:30" ht="18.75" x14ac:dyDescent="0.3">
      <c r="B288" s="15"/>
      <c r="C288" s="47"/>
      <c r="D288" s="51"/>
      <c r="E288" s="4"/>
      <c r="F288" s="47"/>
      <c r="G288" s="32"/>
      <c r="H288" s="32"/>
      <c r="I288" s="32"/>
      <c r="J288" s="32"/>
      <c r="K288" s="32"/>
      <c r="L288" s="15"/>
    </row>
    <row r="289" spans="2:12" ht="18.75" x14ac:dyDescent="0.3">
      <c r="B289" s="15"/>
      <c r="C289" s="47"/>
      <c r="D289" s="51"/>
      <c r="E289" s="4"/>
      <c r="F289" s="47"/>
      <c r="G289" s="32"/>
      <c r="H289" s="32"/>
      <c r="I289" s="32"/>
      <c r="J289" s="32"/>
      <c r="K289" s="32"/>
      <c r="L289" s="15"/>
    </row>
    <row r="290" spans="2:12" ht="18.75" x14ac:dyDescent="0.3">
      <c r="B290" s="15"/>
      <c r="C290" s="47"/>
      <c r="D290" s="51"/>
      <c r="E290" s="4"/>
      <c r="F290" s="47"/>
      <c r="G290" s="32"/>
      <c r="H290" s="32"/>
      <c r="I290" s="32"/>
      <c r="J290" s="32"/>
      <c r="K290" s="32"/>
      <c r="L290" s="15"/>
    </row>
    <row r="291" spans="2:12" ht="18.75" x14ac:dyDescent="0.3">
      <c r="B291" s="15"/>
      <c r="C291" s="47"/>
      <c r="D291" s="51"/>
      <c r="E291" s="4"/>
      <c r="F291" s="47"/>
      <c r="G291" s="32"/>
      <c r="H291" s="32"/>
      <c r="I291" s="32"/>
      <c r="J291" s="32"/>
      <c r="K291" s="32"/>
      <c r="L291" s="15"/>
    </row>
    <row r="292" spans="2:12" ht="18.75" x14ac:dyDescent="0.3">
      <c r="B292" s="15"/>
      <c r="C292" s="47"/>
      <c r="D292" s="51"/>
      <c r="E292" s="4"/>
      <c r="F292" s="47"/>
      <c r="G292" s="32"/>
      <c r="H292" s="32"/>
      <c r="I292" s="32"/>
      <c r="J292" s="32"/>
      <c r="K292" s="32"/>
      <c r="L292" s="15"/>
    </row>
    <row r="293" spans="2:12" ht="18.75" x14ac:dyDescent="0.3">
      <c r="B293" s="15"/>
      <c r="C293" s="47"/>
      <c r="D293" s="51"/>
      <c r="E293" s="4"/>
      <c r="F293" s="47"/>
      <c r="G293" s="32"/>
      <c r="H293" s="32"/>
      <c r="I293" s="32"/>
      <c r="J293" s="32"/>
      <c r="K293" s="32"/>
      <c r="L293" s="15"/>
    </row>
    <row r="294" spans="2:12" ht="18.75" x14ac:dyDescent="0.3">
      <c r="B294" s="15"/>
      <c r="C294" s="47"/>
      <c r="D294" s="51"/>
      <c r="E294" s="4"/>
      <c r="F294" s="47"/>
      <c r="G294" s="32"/>
      <c r="H294" s="32"/>
      <c r="I294" s="32"/>
      <c r="J294" s="32"/>
      <c r="K294" s="32"/>
      <c r="L294" s="15"/>
    </row>
    <row r="295" spans="2:12" ht="18.75" x14ac:dyDescent="0.3">
      <c r="B295" s="15"/>
      <c r="C295" s="47"/>
      <c r="D295" s="51"/>
      <c r="E295" s="4"/>
      <c r="F295" s="47"/>
      <c r="G295" s="32"/>
      <c r="H295" s="32"/>
      <c r="I295" s="32"/>
      <c r="J295" s="32"/>
      <c r="K295" s="32"/>
      <c r="L295" s="15"/>
    </row>
    <row r="296" spans="2:12" ht="18.75" x14ac:dyDescent="0.3">
      <c r="B296" s="15"/>
      <c r="C296" s="47"/>
      <c r="D296" s="51"/>
      <c r="E296" s="4"/>
      <c r="F296" s="47"/>
      <c r="G296" s="32"/>
      <c r="H296" s="32"/>
      <c r="I296" s="32"/>
      <c r="J296" s="32"/>
      <c r="K296" s="32"/>
      <c r="L296" s="15"/>
    </row>
    <row r="297" spans="2:12" ht="18.75" x14ac:dyDescent="0.3">
      <c r="B297" s="15"/>
      <c r="C297" s="47"/>
      <c r="D297" s="51"/>
      <c r="E297" s="4"/>
      <c r="F297" s="47"/>
      <c r="G297" s="32"/>
      <c r="H297" s="32"/>
      <c r="I297" s="32"/>
      <c r="J297" s="32"/>
      <c r="K297" s="32"/>
      <c r="L297" s="15"/>
    </row>
    <row r="298" spans="2:12" ht="18.75" x14ac:dyDescent="0.3">
      <c r="B298" s="15"/>
      <c r="C298" s="47"/>
      <c r="D298" s="51"/>
      <c r="E298" s="4"/>
      <c r="F298" s="47"/>
      <c r="G298" s="32"/>
      <c r="H298" s="32"/>
      <c r="I298" s="32"/>
      <c r="J298" s="32"/>
      <c r="K298" s="32"/>
      <c r="L298" s="15"/>
    </row>
    <row r="299" spans="2:12" ht="18.75" x14ac:dyDescent="0.3">
      <c r="B299" s="17"/>
      <c r="C299" s="18"/>
      <c r="D299" s="18"/>
      <c r="E299" s="18"/>
      <c r="F299" s="18"/>
      <c r="G299" s="4"/>
      <c r="H299" s="4"/>
      <c r="I299" s="4"/>
      <c r="J299" s="4"/>
      <c r="K299" s="4"/>
      <c r="L299" s="17"/>
    </row>
    <row r="300" spans="2:12" ht="18.75" x14ac:dyDescent="0.3">
      <c r="B300" s="17"/>
      <c r="C300" s="18"/>
      <c r="D300" s="18"/>
      <c r="E300" s="18"/>
      <c r="F300" s="18"/>
      <c r="G300" s="4"/>
      <c r="H300" s="4"/>
      <c r="I300" s="4"/>
      <c r="J300" s="4"/>
      <c r="K300" s="4"/>
      <c r="L300" s="17"/>
    </row>
    <row r="301" spans="2:12" ht="18.75" x14ac:dyDescent="0.25">
      <c r="B301" s="19"/>
      <c r="C301" s="20"/>
      <c r="D301" s="20"/>
      <c r="E301" s="20"/>
      <c r="F301" s="20"/>
      <c r="G301" s="20"/>
      <c r="H301" s="20"/>
      <c r="I301" s="20"/>
      <c r="J301" s="20"/>
      <c r="K301" s="20"/>
      <c r="L301" s="19"/>
    </row>
    <row r="302" spans="2:12" ht="18.75" x14ac:dyDescent="0.3">
      <c r="B302" s="52"/>
      <c r="C302" s="53"/>
      <c r="D302" s="54"/>
      <c r="E302" s="55"/>
      <c r="F302" s="55"/>
      <c r="G302" s="17"/>
      <c r="H302" s="17"/>
      <c r="I302" s="17"/>
      <c r="J302" s="17"/>
      <c r="K302" s="17"/>
      <c r="L302" s="52"/>
    </row>
    <row r="303" spans="2:12" ht="18.75" x14ac:dyDescent="0.3">
      <c r="B303" s="52"/>
      <c r="C303" s="53"/>
      <c r="D303" s="54"/>
      <c r="E303" s="55"/>
      <c r="F303" s="55"/>
      <c r="G303" s="17"/>
      <c r="H303" s="17"/>
      <c r="I303" s="17"/>
      <c r="J303" s="17"/>
      <c r="K303" s="17"/>
      <c r="L303" s="52"/>
    </row>
    <row r="304" spans="2:12" ht="18.75" x14ac:dyDescent="0.3">
      <c r="B304" s="52"/>
      <c r="C304" s="53"/>
      <c r="D304" s="54"/>
      <c r="E304" s="55"/>
      <c r="F304" s="55"/>
      <c r="G304" s="17"/>
      <c r="H304" s="17"/>
      <c r="I304" s="17"/>
      <c r="J304" s="17"/>
      <c r="K304" s="17"/>
      <c r="L304" s="52"/>
    </row>
    <row r="305" spans="2:12" ht="18.75" x14ac:dyDescent="0.3">
      <c r="B305" s="52"/>
      <c r="C305" s="56"/>
      <c r="D305" s="56"/>
      <c r="E305" s="57"/>
      <c r="F305" s="58"/>
      <c r="G305" s="17"/>
      <c r="H305" s="17"/>
      <c r="I305" s="17"/>
      <c r="J305" s="17"/>
      <c r="K305" s="17"/>
      <c r="L305" s="52"/>
    </row>
    <row r="306" spans="2:12" ht="18.75" x14ac:dyDescent="0.3">
      <c r="B306" s="52"/>
      <c r="C306" s="56"/>
      <c r="D306" s="56"/>
      <c r="E306" s="57"/>
      <c r="F306" s="58"/>
      <c r="G306" s="17"/>
      <c r="H306" s="17"/>
      <c r="I306" s="17"/>
      <c r="J306" s="17"/>
      <c r="K306" s="17"/>
      <c r="L306" s="52"/>
    </row>
    <row r="307" spans="2:12" ht="18.75" x14ac:dyDescent="0.3">
      <c r="B307" s="52"/>
      <c r="C307" s="56"/>
      <c r="D307" s="56"/>
      <c r="E307" s="57"/>
      <c r="F307" s="58"/>
      <c r="G307" s="17"/>
      <c r="H307" s="17"/>
      <c r="I307" s="17"/>
      <c r="J307" s="17"/>
      <c r="K307" s="17"/>
      <c r="L307" s="52"/>
    </row>
    <row r="308" spans="2:12" ht="18.75" x14ac:dyDescent="0.3">
      <c r="B308" s="52"/>
      <c r="C308" s="56"/>
      <c r="D308" s="56"/>
      <c r="E308" s="57"/>
      <c r="F308" s="58"/>
      <c r="G308" s="17"/>
      <c r="H308" s="17"/>
      <c r="I308" s="17"/>
      <c r="J308" s="17"/>
      <c r="K308" s="17"/>
      <c r="L308" s="52"/>
    </row>
    <row r="309" spans="2:12" ht="18.75" x14ac:dyDescent="0.3">
      <c r="B309" s="52"/>
      <c r="C309" s="56"/>
      <c r="D309" s="56"/>
      <c r="E309" s="57"/>
      <c r="F309" s="58"/>
      <c r="G309" s="17"/>
      <c r="H309" s="17"/>
      <c r="I309" s="17"/>
      <c r="J309" s="17"/>
      <c r="K309" s="17"/>
      <c r="L309" s="52"/>
    </row>
    <row r="310" spans="2:12" ht="18.75" x14ac:dyDescent="0.3">
      <c r="B310" s="52"/>
      <c r="C310" s="56"/>
      <c r="D310" s="56"/>
      <c r="E310" s="57"/>
      <c r="F310" s="58"/>
      <c r="G310" s="17"/>
      <c r="H310" s="17"/>
      <c r="I310" s="17"/>
      <c r="J310" s="17"/>
      <c r="K310" s="17"/>
      <c r="L310" s="52"/>
    </row>
    <row r="311" spans="2:12" ht="18.75" x14ac:dyDescent="0.3">
      <c r="B311" s="52"/>
      <c r="C311" s="56"/>
      <c r="D311" s="56"/>
      <c r="E311" s="57"/>
      <c r="F311" s="58"/>
      <c r="G311" s="17"/>
      <c r="H311" s="17"/>
      <c r="I311" s="17"/>
      <c r="J311" s="17"/>
      <c r="K311" s="17"/>
      <c r="L311" s="52"/>
    </row>
    <row r="312" spans="2:12" ht="18.75" x14ac:dyDescent="0.3">
      <c r="B312" s="52"/>
      <c r="C312" s="56"/>
      <c r="D312" s="56"/>
      <c r="E312" s="57"/>
      <c r="F312" s="58"/>
      <c r="G312" s="17"/>
      <c r="H312" s="17"/>
      <c r="I312" s="17"/>
      <c r="J312" s="17"/>
      <c r="K312" s="17"/>
      <c r="L312" s="52"/>
    </row>
    <row r="313" spans="2:12" ht="18.75" x14ac:dyDescent="0.3">
      <c r="B313" s="52"/>
      <c r="C313" s="56"/>
      <c r="D313" s="56"/>
      <c r="E313" s="57"/>
      <c r="F313" s="58"/>
      <c r="G313" s="17"/>
      <c r="H313" s="17"/>
      <c r="I313" s="17"/>
      <c r="J313" s="17"/>
      <c r="K313" s="17"/>
      <c r="L313" s="52"/>
    </row>
    <row r="314" spans="2:12" ht="18.75" x14ac:dyDescent="0.3">
      <c r="B314" s="17"/>
      <c r="C314" s="18"/>
      <c r="D314" s="18"/>
      <c r="E314" s="18"/>
      <c r="F314" s="18"/>
      <c r="G314" s="4"/>
      <c r="H314" s="4"/>
      <c r="I314" s="4"/>
      <c r="J314" s="4"/>
      <c r="K314" s="4"/>
      <c r="L314" s="17"/>
    </row>
    <row r="315" spans="2:12" ht="18.75" x14ac:dyDescent="0.3">
      <c r="B315" s="17"/>
      <c r="C315" s="18"/>
      <c r="D315" s="18"/>
      <c r="E315" s="18"/>
      <c r="F315" s="18"/>
      <c r="G315" s="4"/>
      <c r="H315" s="4"/>
      <c r="I315" s="4"/>
      <c r="J315" s="4"/>
      <c r="K315" s="4"/>
      <c r="L315" s="17"/>
    </row>
    <row r="316" spans="2:12" ht="18.75" x14ac:dyDescent="0.3">
      <c r="B316" s="25"/>
      <c r="C316" s="4"/>
      <c r="D316" s="4"/>
      <c r="E316" s="4"/>
      <c r="F316" s="4"/>
      <c r="G316" s="4"/>
      <c r="H316" s="4"/>
      <c r="I316" s="4"/>
      <c r="J316" s="4"/>
      <c r="K316" s="4"/>
      <c r="L316" s="25"/>
    </row>
    <row r="317" spans="2:12" ht="18.75" x14ac:dyDescent="0.25">
      <c r="B317" s="19"/>
      <c r="C317" s="20"/>
      <c r="D317" s="20"/>
      <c r="E317" s="20"/>
      <c r="F317" s="20"/>
      <c r="G317" s="20"/>
      <c r="H317" s="20"/>
      <c r="I317" s="20"/>
      <c r="J317" s="20"/>
      <c r="K317" s="20"/>
      <c r="L317" s="19"/>
    </row>
    <row r="318" spans="2:12" ht="18.75" x14ac:dyDescent="0.3">
      <c r="B318" s="15"/>
      <c r="C318" s="21"/>
      <c r="D318" s="4"/>
      <c r="E318" s="4"/>
      <c r="F318" s="21"/>
      <c r="G318" s="4"/>
      <c r="H318" s="4"/>
      <c r="I318" s="4"/>
      <c r="J318" s="4"/>
      <c r="K318" s="4"/>
      <c r="L318" s="15"/>
    </row>
    <row r="319" spans="2:12" ht="18.75" x14ac:dyDescent="0.3">
      <c r="B319" s="15"/>
      <c r="C319" s="21"/>
      <c r="D319" s="4"/>
      <c r="E319" s="4"/>
      <c r="F319" s="21"/>
      <c r="G319" s="4"/>
      <c r="H319" s="4"/>
      <c r="I319" s="4"/>
      <c r="J319" s="4"/>
      <c r="K319" s="4"/>
      <c r="L319" s="15"/>
    </row>
    <row r="320" spans="2:12" ht="18.75" x14ac:dyDescent="0.3">
      <c r="B320" s="15"/>
      <c r="C320" s="21"/>
      <c r="D320" s="21"/>
      <c r="E320" s="4"/>
      <c r="F320" s="4"/>
      <c r="G320" s="4"/>
      <c r="H320" s="4"/>
      <c r="I320" s="4"/>
      <c r="J320" s="4"/>
      <c r="K320" s="4"/>
      <c r="L320" s="15"/>
    </row>
    <row r="321" spans="2:12" ht="18.75" x14ac:dyDescent="0.3">
      <c r="B321" s="15"/>
      <c r="C321" s="21"/>
      <c r="D321" s="4"/>
      <c r="E321" s="4"/>
      <c r="F321" s="4"/>
      <c r="G321" s="4"/>
      <c r="H321" s="4"/>
      <c r="I321" s="4"/>
      <c r="J321" s="4"/>
      <c r="K321" s="4"/>
      <c r="L321" s="15"/>
    </row>
    <row r="322" spans="2:12" ht="18.75" x14ac:dyDescent="0.3">
      <c r="B322" s="15"/>
      <c r="C322" s="21"/>
      <c r="D322" s="4"/>
      <c r="E322" s="4"/>
      <c r="F322" s="4"/>
      <c r="G322" s="4"/>
      <c r="H322" s="4"/>
      <c r="I322" s="4"/>
      <c r="J322" s="4"/>
      <c r="K322" s="4"/>
      <c r="L322" s="15"/>
    </row>
    <row r="323" spans="2:12" ht="18.75" x14ac:dyDescent="0.3">
      <c r="B323" s="15"/>
      <c r="C323" s="21"/>
      <c r="D323" s="4"/>
      <c r="E323" s="4"/>
      <c r="F323" s="4"/>
      <c r="G323" s="4"/>
      <c r="H323" s="4"/>
      <c r="I323" s="4"/>
      <c r="J323" s="4"/>
      <c r="K323" s="4"/>
      <c r="L323" s="15"/>
    </row>
    <row r="324" spans="2:12" ht="18.75" x14ac:dyDescent="0.3">
      <c r="B324" s="15"/>
      <c r="C324" s="21"/>
      <c r="D324" s="4"/>
      <c r="E324" s="4"/>
      <c r="F324" s="4"/>
      <c r="G324" s="4"/>
      <c r="H324" s="4"/>
      <c r="I324" s="4"/>
      <c r="J324" s="4"/>
      <c r="K324" s="4"/>
      <c r="L324" s="15"/>
    </row>
    <row r="325" spans="2:12" ht="18.75" x14ac:dyDescent="0.3">
      <c r="B325" s="15"/>
      <c r="C325" s="21"/>
      <c r="D325" s="4"/>
      <c r="E325" s="4"/>
      <c r="F325" s="4"/>
      <c r="G325" s="4"/>
      <c r="H325" s="4"/>
      <c r="I325" s="4"/>
      <c r="J325" s="4"/>
      <c r="K325" s="4"/>
      <c r="L325" s="15"/>
    </row>
    <row r="326" spans="2:12" ht="18.75" x14ac:dyDescent="0.3">
      <c r="B326" s="15"/>
      <c r="C326" s="21"/>
      <c r="D326" s="4"/>
      <c r="E326" s="4"/>
      <c r="F326" s="4"/>
      <c r="G326" s="4"/>
      <c r="H326" s="4"/>
      <c r="I326" s="4"/>
      <c r="J326" s="4"/>
      <c r="K326" s="4"/>
      <c r="L326" s="15"/>
    </row>
    <row r="327" spans="2:12" ht="18.75" x14ac:dyDescent="0.3">
      <c r="B327" s="15"/>
      <c r="C327" s="21"/>
      <c r="D327" s="4"/>
      <c r="E327" s="4"/>
      <c r="F327" s="4"/>
      <c r="G327" s="4"/>
      <c r="H327" s="4"/>
      <c r="I327" s="4"/>
      <c r="J327" s="4"/>
      <c r="K327" s="4"/>
      <c r="L327" s="15"/>
    </row>
    <row r="328" spans="2:12" ht="18.75" x14ac:dyDescent="0.3">
      <c r="B328" s="15"/>
      <c r="C328" s="21"/>
      <c r="D328" s="4"/>
      <c r="E328" s="4"/>
      <c r="F328" s="4"/>
      <c r="G328" s="4"/>
      <c r="H328" s="4"/>
      <c r="I328" s="4"/>
      <c r="J328" s="4"/>
      <c r="K328" s="4"/>
      <c r="L328" s="15"/>
    </row>
    <row r="329" spans="2:12" ht="18.75" x14ac:dyDescent="0.3">
      <c r="B329" s="15"/>
      <c r="C329" s="21"/>
      <c r="D329" s="4"/>
      <c r="E329" s="4"/>
      <c r="F329" s="4"/>
      <c r="G329" s="4"/>
      <c r="H329" s="4"/>
      <c r="I329" s="4"/>
      <c r="J329" s="4"/>
      <c r="K329" s="4"/>
      <c r="L329" s="15"/>
    </row>
    <row r="330" spans="2:12" ht="18.75" x14ac:dyDescent="0.3">
      <c r="B330" s="17"/>
      <c r="C330" s="18"/>
      <c r="D330" s="18"/>
      <c r="E330" s="18"/>
      <c r="F330" s="18"/>
      <c r="G330" s="4"/>
      <c r="H330" s="4"/>
      <c r="I330" s="4"/>
      <c r="J330" s="4"/>
      <c r="K330" s="4"/>
      <c r="L330" s="17"/>
    </row>
    <row r="331" spans="2:12" ht="18.75" x14ac:dyDescent="0.3">
      <c r="B331" s="25"/>
      <c r="C331" s="4"/>
      <c r="D331" s="4"/>
      <c r="E331" s="4"/>
      <c r="F331" s="4"/>
      <c r="G331" s="4"/>
      <c r="H331" s="4"/>
      <c r="I331" s="4"/>
      <c r="J331" s="4"/>
      <c r="K331" s="4"/>
      <c r="L331" s="25"/>
    </row>
    <row r="332" spans="2:12" ht="18.75" x14ac:dyDescent="0.3">
      <c r="B332" s="33"/>
      <c r="C332" s="4"/>
      <c r="D332" s="4"/>
      <c r="E332" s="4"/>
      <c r="F332" s="4"/>
      <c r="G332" s="4"/>
      <c r="H332" s="4"/>
      <c r="I332" s="4"/>
      <c r="J332" s="4"/>
      <c r="K332" s="4"/>
      <c r="L332" s="33"/>
    </row>
    <row r="333" spans="2:12" ht="18.75" x14ac:dyDescent="0.3">
      <c r="B333" s="25"/>
      <c r="C333" s="4"/>
      <c r="D333" s="4"/>
      <c r="E333" s="4"/>
      <c r="F333" s="4"/>
      <c r="G333" s="4"/>
      <c r="H333" s="4"/>
      <c r="I333" s="4"/>
      <c r="J333" s="4"/>
      <c r="K333" s="4"/>
      <c r="L333" s="25"/>
    </row>
    <row r="334" spans="2:12" ht="18.75" x14ac:dyDescent="0.25">
      <c r="B334" s="19"/>
      <c r="C334" s="20"/>
      <c r="D334" s="20"/>
      <c r="E334" s="20"/>
      <c r="F334" s="20"/>
      <c r="G334" s="20"/>
      <c r="H334" s="20"/>
      <c r="I334" s="20"/>
      <c r="J334" s="20"/>
      <c r="K334" s="20"/>
      <c r="L334" s="19"/>
    </row>
    <row r="335" spans="2:12" ht="18.75" x14ac:dyDescent="0.3">
      <c r="B335" s="15"/>
      <c r="C335" s="16"/>
      <c r="D335" s="16"/>
      <c r="E335" s="16"/>
      <c r="F335" s="21"/>
      <c r="G335" s="4"/>
      <c r="H335" s="4"/>
      <c r="I335" s="4"/>
      <c r="J335" s="4"/>
      <c r="K335" s="4"/>
      <c r="L335" s="15"/>
    </row>
    <row r="336" spans="2:12" ht="18.75" x14ac:dyDescent="0.3">
      <c r="B336" s="15"/>
      <c r="C336" s="16"/>
      <c r="D336" s="16"/>
      <c r="E336" s="16"/>
      <c r="F336" s="21"/>
      <c r="G336" s="4"/>
      <c r="H336" s="4"/>
      <c r="I336" s="4"/>
      <c r="J336" s="4"/>
      <c r="K336" s="4"/>
      <c r="L336" s="15"/>
    </row>
    <row r="337" spans="2:12" ht="18.75" x14ac:dyDescent="0.3">
      <c r="B337" s="15"/>
      <c r="C337" s="16"/>
      <c r="D337" s="16"/>
      <c r="E337" s="16"/>
      <c r="F337" s="21"/>
      <c r="G337" s="4"/>
      <c r="H337" s="4"/>
      <c r="I337" s="4"/>
      <c r="J337" s="4"/>
      <c r="K337" s="4"/>
      <c r="L337" s="15"/>
    </row>
    <row r="338" spans="2:12" ht="18.75" x14ac:dyDescent="0.3">
      <c r="B338" s="15"/>
      <c r="C338" s="16"/>
      <c r="D338" s="16"/>
      <c r="E338" s="16"/>
      <c r="F338" s="4"/>
      <c r="G338" s="4"/>
      <c r="H338" s="4"/>
      <c r="I338" s="4"/>
      <c r="J338" s="4"/>
      <c r="K338" s="4"/>
      <c r="L338" s="15"/>
    </row>
    <row r="339" spans="2:12" ht="18.75" x14ac:dyDescent="0.3">
      <c r="B339" s="15"/>
      <c r="C339" s="16"/>
      <c r="D339" s="59"/>
      <c r="E339" s="4"/>
      <c r="F339" s="59"/>
      <c r="G339" s="4"/>
      <c r="H339" s="4"/>
      <c r="I339" s="4"/>
      <c r="J339" s="4"/>
      <c r="K339" s="4"/>
      <c r="L339" s="15"/>
    </row>
    <row r="340" spans="2:12" ht="18.75" x14ac:dyDescent="0.3">
      <c r="B340" s="15"/>
      <c r="C340" s="16"/>
      <c r="D340" s="59"/>
      <c r="E340" s="4"/>
      <c r="F340" s="59"/>
      <c r="G340" s="4"/>
      <c r="H340" s="4"/>
      <c r="I340" s="4"/>
      <c r="J340" s="4"/>
      <c r="K340" s="4"/>
      <c r="L340" s="15"/>
    </row>
    <row r="341" spans="2:12" ht="18.75" x14ac:dyDescent="0.3">
      <c r="B341" s="15"/>
      <c r="C341" s="16"/>
      <c r="D341" s="59"/>
      <c r="E341" s="4"/>
      <c r="F341" s="59"/>
      <c r="G341" s="4"/>
      <c r="H341" s="4"/>
      <c r="I341" s="4"/>
      <c r="J341" s="4"/>
      <c r="K341" s="4"/>
      <c r="L341" s="15"/>
    </row>
    <row r="342" spans="2:12" ht="18.75" x14ac:dyDescent="0.3">
      <c r="B342" s="15"/>
      <c r="C342" s="16"/>
      <c r="D342" s="59"/>
      <c r="E342" s="4"/>
      <c r="F342" s="59"/>
      <c r="G342" s="4"/>
      <c r="H342" s="4"/>
      <c r="I342" s="4"/>
      <c r="J342" s="4"/>
      <c r="K342" s="4"/>
      <c r="L342" s="15"/>
    </row>
    <row r="343" spans="2:12" ht="18.75" x14ac:dyDescent="0.3">
      <c r="B343" s="15"/>
      <c r="C343" s="16"/>
      <c r="D343" s="59"/>
      <c r="E343" s="4"/>
      <c r="F343" s="59"/>
      <c r="G343" s="4"/>
      <c r="H343" s="4"/>
      <c r="I343" s="4"/>
      <c r="J343" s="4"/>
      <c r="K343" s="4"/>
      <c r="L343" s="15"/>
    </row>
    <row r="344" spans="2:12" ht="18.75" x14ac:dyDescent="0.3">
      <c r="B344" s="15"/>
      <c r="C344" s="16"/>
      <c r="D344" s="16"/>
      <c r="E344" s="16"/>
      <c r="F344" s="59"/>
      <c r="G344" s="4"/>
      <c r="H344" s="4"/>
      <c r="I344" s="4"/>
      <c r="J344" s="4"/>
      <c r="K344" s="4"/>
      <c r="L344" s="15"/>
    </row>
    <row r="345" spans="2:12" ht="18.75" x14ac:dyDescent="0.3">
      <c r="B345" s="15"/>
      <c r="C345" s="16"/>
      <c r="D345" s="16"/>
      <c r="E345" s="16"/>
      <c r="F345" s="59"/>
      <c r="G345" s="4"/>
      <c r="H345" s="4"/>
      <c r="I345" s="4"/>
      <c r="J345" s="4"/>
      <c r="K345" s="4"/>
      <c r="L345" s="15"/>
    </row>
    <row r="346" spans="2:12" ht="18.75" x14ac:dyDescent="0.3">
      <c r="B346" s="15"/>
      <c r="C346" s="16"/>
      <c r="D346" s="59"/>
      <c r="E346" s="4"/>
      <c r="F346" s="59"/>
      <c r="G346" s="4"/>
      <c r="H346" s="4"/>
      <c r="I346" s="4"/>
      <c r="J346" s="4"/>
      <c r="K346" s="4"/>
      <c r="L346" s="15"/>
    </row>
    <row r="347" spans="2:12" ht="18.75" x14ac:dyDescent="0.3">
      <c r="B347" s="17"/>
      <c r="C347" s="18"/>
      <c r="D347" s="18"/>
      <c r="E347" s="18"/>
      <c r="F347" s="18"/>
      <c r="G347" s="4"/>
      <c r="H347" s="4"/>
      <c r="I347" s="4"/>
      <c r="J347" s="4"/>
      <c r="K347" s="4"/>
      <c r="L347" s="17"/>
    </row>
    <row r="348" spans="2:12" ht="18.75" x14ac:dyDescent="0.3">
      <c r="B348" s="25"/>
      <c r="C348" s="4"/>
      <c r="D348" s="4"/>
      <c r="E348" s="4"/>
      <c r="F348" s="4"/>
      <c r="G348" s="4"/>
      <c r="H348" s="4"/>
      <c r="I348" s="4"/>
      <c r="J348" s="4"/>
      <c r="K348" s="4"/>
      <c r="L348" s="25"/>
    </row>
    <row r="349" spans="2:12" ht="18.75" x14ac:dyDescent="0.25">
      <c r="B349" s="19"/>
      <c r="C349" s="20"/>
      <c r="D349" s="20"/>
      <c r="E349" s="20"/>
      <c r="F349" s="20"/>
      <c r="G349" s="20"/>
      <c r="H349" s="20"/>
      <c r="I349" s="20"/>
      <c r="J349" s="20"/>
      <c r="K349" s="20"/>
      <c r="L349" s="19"/>
    </row>
    <row r="350" spans="2:12" ht="18.75" x14ac:dyDescent="0.3">
      <c r="B350" s="15"/>
      <c r="C350" s="21"/>
      <c r="D350" s="21"/>
      <c r="E350" s="21"/>
      <c r="F350" s="21"/>
      <c r="G350" s="4"/>
      <c r="H350" s="4"/>
      <c r="I350" s="4"/>
      <c r="J350" s="4"/>
      <c r="K350" s="4"/>
      <c r="L350" s="15"/>
    </row>
    <row r="351" spans="2:12" ht="18.75" x14ac:dyDescent="0.3">
      <c r="B351" s="15"/>
      <c r="C351" s="60"/>
      <c r="D351" s="60"/>
      <c r="E351" s="60"/>
      <c r="F351" s="21"/>
      <c r="G351" s="4"/>
      <c r="H351" s="4"/>
      <c r="I351" s="4"/>
      <c r="J351" s="4"/>
      <c r="K351" s="4"/>
      <c r="L351" s="15"/>
    </row>
    <row r="352" spans="2:12" ht="18.75" x14ac:dyDescent="0.3">
      <c r="B352" s="15"/>
      <c r="C352" s="60"/>
      <c r="D352" s="60"/>
      <c r="E352" s="60"/>
      <c r="F352" s="21"/>
      <c r="G352" s="4"/>
      <c r="H352" s="4"/>
      <c r="I352" s="4"/>
      <c r="J352" s="4"/>
      <c r="K352" s="4"/>
      <c r="L352" s="15"/>
    </row>
    <row r="353" spans="2:12" ht="18.75" x14ac:dyDescent="0.3">
      <c r="B353" s="15"/>
      <c r="C353" s="61"/>
      <c r="D353" s="61"/>
      <c r="E353" s="16"/>
      <c r="F353" s="61"/>
      <c r="G353" s="4"/>
      <c r="H353" s="4"/>
      <c r="I353" s="4"/>
      <c r="J353" s="4"/>
      <c r="K353" s="4"/>
      <c r="L353" s="15"/>
    </row>
    <row r="354" spans="2:12" ht="18.75" x14ac:dyDescent="0.3">
      <c r="B354" s="15"/>
      <c r="C354" s="61"/>
      <c r="D354" s="61"/>
      <c r="E354" s="16"/>
      <c r="F354" s="61"/>
      <c r="G354" s="4"/>
      <c r="H354" s="4"/>
      <c r="I354" s="4"/>
      <c r="J354" s="4"/>
      <c r="K354" s="4"/>
      <c r="L354" s="15"/>
    </row>
    <row r="355" spans="2:12" ht="18.75" x14ac:dyDescent="0.3">
      <c r="B355" s="15"/>
      <c r="C355" s="16"/>
      <c r="D355" s="16"/>
      <c r="E355" s="16"/>
      <c r="F355" s="16"/>
      <c r="G355" s="4"/>
      <c r="H355" s="4"/>
      <c r="I355" s="4"/>
      <c r="J355" s="4"/>
      <c r="K355" s="4"/>
      <c r="L355" s="15"/>
    </row>
    <row r="356" spans="2:12" ht="18.75" x14ac:dyDescent="0.3">
      <c r="B356" s="15"/>
      <c r="C356" s="16"/>
      <c r="D356" s="16"/>
      <c r="E356" s="16"/>
      <c r="F356" s="16"/>
      <c r="G356" s="4"/>
      <c r="H356" s="4"/>
      <c r="I356" s="4"/>
      <c r="J356" s="4"/>
      <c r="K356" s="4"/>
      <c r="L356" s="15"/>
    </row>
    <row r="357" spans="2:12" ht="18.75" x14ac:dyDescent="0.3">
      <c r="B357" s="15"/>
      <c r="C357" s="16"/>
      <c r="D357" s="16"/>
      <c r="E357" s="16"/>
      <c r="F357" s="16"/>
      <c r="G357" s="4"/>
      <c r="H357" s="4"/>
      <c r="I357" s="4"/>
      <c r="J357" s="4"/>
      <c r="K357" s="4"/>
      <c r="L357" s="15"/>
    </row>
    <row r="358" spans="2:12" ht="18.75" x14ac:dyDescent="0.3">
      <c r="B358" s="15"/>
      <c r="C358" s="16"/>
      <c r="D358" s="16"/>
      <c r="E358" s="16"/>
      <c r="F358" s="16"/>
      <c r="G358" s="4"/>
      <c r="H358" s="4"/>
      <c r="I358" s="4"/>
      <c r="J358" s="4"/>
      <c r="K358" s="4"/>
      <c r="L358" s="15"/>
    </row>
    <row r="359" spans="2:12" ht="18.75" x14ac:dyDescent="0.3">
      <c r="B359" s="15"/>
      <c r="C359" s="16"/>
      <c r="D359" s="16"/>
      <c r="E359" s="16"/>
      <c r="F359" s="16"/>
      <c r="G359" s="4"/>
      <c r="H359" s="4"/>
      <c r="I359" s="4"/>
      <c r="J359" s="4"/>
      <c r="K359" s="4"/>
      <c r="L359" s="15"/>
    </row>
    <row r="360" spans="2:12" ht="18.75" x14ac:dyDescent="0.3">
      <c r="B360" s="15"/>
      <c r="C360" s="16"/>
      <c r="D360" s="16"/>
      <c r="E360" s="16"/>
      <c r="F360" s="16"/>
      <c r="G360" s="4"/>
      <c r="H360" s="4"/>
      <c r="I360" s="4"/>
      <c r="J360" s="4"/>
      <c r="K360" s="4"/>
      <c r="L360" s="15"/>
    </row>
    <row r="361" spans="2:12" ht="18.75" x14ac:dyDescent="0.3">
      <c r="B361" s="15"/>
      <c r="C361" s="16"/>
      <c r="D361" s="16"/>
      <c r="E361" s="16"/>
      <c r="F361" s="16"/>
      <c r="G361" s="4"/>
      <c r="H361" s="4"/>
      <c r="I361" s="4"/>
      <c r="J361" s="4"/>
      <c r="K361" s="4"/>
      <c r="L361" s="15"/>
    </row>
    <row r="362" spans="2:12" ht="18.75" x14ac:dyDescent="0.3">
      <c r="B362" s="17"/>
      <c r="C362" s="18"/>
      <c r="D362" s="18"/>
      <c r="E362" s="18"/>
      <c r="F362" s="18"/>
      <c r="G362" s="4"/>
      <c r="H362" s="4"/>
      <c r="I362" s="4"/>
      <c r="J362" s="4"/>
      <c r="K362" s="4"/>
      <c r="L362" s="17"/>
    </row>
    <row r="363" spans="2:12" ht="18.75" x14ac:dyDescent="0.3">
      <c r="B363" s="25"/>
      <c r="C363" s="4"/>
      <c r="D363" s="4"/>
      <c r="E363" s="4"/>
      <c r="F363" s="4"/>
      <c r="G363" s="4"/>
      <c r="H363" s="4"/>
      <c r="I363" s="4"/>
      <c r="J363" s="4"/>
      <c r="K363" s="4"/>
      <c r="L363" s="25"/>
    </row>
    <row r="364" spans="2:12" ht="18.75" x14ac:dyDescent="0.25">
      <c r="B364" s="19"/>
      <c r="C364" s="20"/>
      <c r="D364" s="20"/>
      <c r="E364" s="20"/>
      <c r="F364" s="20"/>
      <c r="G364" s="20"/>
      <c r="H364" s="20"/>
      <c r="I364" s="20"/>
      <c r="J364" s="20"/>
      <c r="K364" s="20"/>
      <c r="L364" s="19"/>
    </row>
    <row r="365" spans="2:12" ht="18.75" x14ac:dyDescent="0.3">
      <c r="B365" s="15"/>
      <c r="C365" s="62"/>
      <c r="D365" s="62"/>
      <c r="E365" s="22"/>
      <c r="F365" s="62"/>
      <c r="G365" s="4"/>
      <c r="H365" s="4"/>
      <c r="I365" s="4"/>
      <c r="J365" s="4"/>
      <c r="K365" s="4"/>
      <c r="L365" s="15"/>
    </row>
    <row r="366" spans="2:12" ht="18.75" x14ac:dyDescent="0.3">
      <c r="B366" s="15"/>
      <c r="C366" s="62"/>
      <c r="D366" s="62"/>
      <c r="E366" s="22"/>
      <c r="F366" s="62"/>
      <c r="G366" s="4"/>
      <c r="H366" s="4"/>
      <c r="I366" s="4"/>
      <c r="J366" s="4"/>
      <c r="K366" s="4"/>
      <c r="L366" s="15"/>
    </row>
    <row r="367" spans="2:12" ht="18.75" x14ac:dyDescent="0.3">
      <c r="B367" s="15"/>
      <c r="C367" s="62"/>
      <c r="D367" s="62"/>
      <c r="E367" s="22"/>
      <c r="F367" s="62"/>
      <c r="G367" s="4"/>
      <c r="H367" s="4"/>
      <c r="I367" s="4"/>
      <c r="J367" s="4"/>
      <c r="K367" s="4"/>
      <c r="L367" s="15"/>
    </row>
    <row r="368" spans="2:12" ht="18.75" x14ac:dyDescent="0.3">
      <c r="B368" s="15"/>
      <c r="C368" s="62"/>
      <c r="D368" s="62"/>
      <c r="E368" s="22"/>
      <c r="F368" s="62"/>
      <c r="G368" s="4"/>
      <c r="H368" s="4"/>
      <c r="I368" s="4"/>
      <c r="J368" s="4"/>
      <c r="K368" s="4"/>
      <c r="L368" s="15"/>
    </row>
    <row r="369" spans="2:12" ht="18.75" x14ac:dyDescent="0.3">
      <c r="B369" s="15"/>
      <c r="C369" s="62"/>
      <c r="D369" s="62"/>
      <c r="E369" s="22"/>
      <c r="F369" s="62"/>
      <c r="G369" s="4"/>
      <c r="H369" s="4"/>
      <c r="I369" s="4"/>
      <c r="J369" s="4"/>
      <c r="K369" s="4"/>
      <c r="L369" s="15"/>
    </row>
    <row r="370" spans="2:12" ht="18.75" x14ac:dyDescent="0.3">
      <c r="B370" s="15"/>
      <c r="C370" s="62"/>
      <c r="D370" s="62"/>
      <c r="E370" s="22"/>
      <c r="F370" s="62"/>
      <c r="G370" s="4"/>
      <c r="H370" s="4"/>
      <c r="I370" s="4"/>
      <c r="J370" s="4"/>
      <c r="K370" s="4"/>
      <c r="L370" s="15"/>
    </row>
    <row r="371" spans="2:12" ht="18.75" x14ac:dyDescent="0.3">
      <c r="B371" s="15"/>
      <c r="C371" s="62"/>
      <c r="D371" s="62"/>
      <c r="E371" s="22"/>
      <c r="F371" s="62"/>
      <c r="G371" s="4"/>
      <c r="H371" s="4"/>
      <c r="I371" s="4"/>
      <c r="J371" s="4"/>
      <c r="K371" s="4"/>
      <c r="L371" s="15"/>
    </row>
    <row r="372" spans="2:12" ht="18.75" x14ac:dyDescent="0.3">
      <c r="B372" s="15"/>
      <c r="C372" s="62"/>
      <c r="D372" s="62"/>
      <c r="E372" s="22"/>
      <c r="F372" s="62"/>
      <c r="G372" s="4"/>
      <c r="H372" s="4"/>
      <c r="I372" s="4"/>
      <c r="J372" s="4"/>
      <c r="K372" s="4"/>
      <c r="L372" s="15"/>
    </row>
    <row r="373" spans="2:12" ht="18.75" x14ac:dyDescent="0.3">
      <c r="B373" s="15"/>
      <c r="C373" s="62"/>
      <c r="D373" s="62"/>
      <c r="E373" s="22"/>
      <c r="F373" s="62"/>
      <c r="G373" s="4"/>
      <c r="H373" s="4"/>
      <c r="I373" s="4"/>
      <c r="J373" s="4"/>
      <c r="K373" s="4"/>
      <c r="L373" s="15"/>
    </row>
    <row r="374" spans="2:12" ht="18.75" x14ac:dyDescent="0.3">
      <c r="B374" s="15"/>
      <c r="C374" s="62"/>
      <c r="D374" s="62"/>
      <c r="E374" s="22"/>
      <c r="F374" s="62"/>
      <c r="G374" s="4"/>
      <c r="H374" s="4"/>
      <c r="I374" s="4"/>
      <c r="J374" s="4"/>
      <c r="K374" s="4"/>
      <c r="L374" s="15"/>
    </row>
    <row r="375" spans="2:12" ht="18.75" x14ac:dyDescent="0.3">
      <c r="B375" s="15"/>
      <c r="C375" s="62"/>
      <c r="D375" s="62"/>
      <c r="E375" s="22"/>
      <c r="F375" s="62"/>
      <c r="G375" s="4"/>
      <c r="H375" s="4"/>
      <c r="I375" s="4"/>
      <c r="J375" s="4"/>
      <c r="K375" s="4"/>
      <c r="L375" s="15"/>
    </row>
    <row r="376" spans="2:12" ht="18.75" x14ac:dyDescent="0.3">
      <c r="B376" s="15"/>
      <c r="C376" s="62"/>
      <c r="D376" s="62"/>
      <c r="E376" s="22"/>
      <c r="F376" s="62"/>
      <c r="G376" s="4"/>
      <c r="H376" s="4"/>
      <c r="I376" s="4"/>
      <c r="J376" s="4"/>
      <c r="K376" s="4"/>
      <c r="L376" s="15"/>
    </row>
    <row r="377" spans="2:12" ht="18.75" x14ac:dyDescent="0.3">
      <c r="B377" s="17"/>
      <c r="C377" s="18"/>
      <c r="D377" s="18"/>
      <c r="E377" s="18"/>
      <c r="F377" s="18"/>
      <c r="G377" s="4"/>
      <c r="H377" s="4"/>
      <c r="I377" s="4"/>
      <c r="J377" s="4"/>
      <c r="K377" s="4"/>
      <c r="L377" s="17"/>
    </row>
    <row r="378" spans="2:12" ht="18.75" x14ac:dyDescent="0.3">
      <c r="B378" s="25"/>
      <c r="C378" s="4"/>
      <c r="D378" s="4"/>
      <c r="E378" s="4"/>
      <c r="F378" s="4"/>
      <c r="G378" s="4"/>
      <c r="H378" s="4"/>
      <c r="I378" s="4"/>
      <c r="J378" s="4"/>
      <c r="K378" s="4"/>
      <c r="L378" s="25"/>
    </row>
    <row r="379" spans="2:12" ht="18.75" x14ac:dyDescent="0.25">
      <c r="B379" s="19"/>
      <c r="C379" s="20"/>
      <c r="D379" s="20"/>
      <c r="E379" s="20"/>
      <c r="F379" s="20"/>
      <c r="G379" s="20"/>
      <c r="H379" s="20"/>
      <c r="I379" s="20"/>
      <c r="J379" s="20"/>
      <c r="K379" s="20"/>
      <c r="L379" s="19"/>
    </row>
    <row r="380" spans="2:12" ht="18.75" x14ac:dyDescent="0.3">
      <c r="B380" s="15"/>
      <c r="C380" s="16"/>
      <c r="D380" s="16"/>
      <c r="E380" s="4"/>
      <c r="F380" s="16"/>
      <c r="G380" s="4"/>
      <c r="H380" s="4"/>
      <c r="I380" s="4"/>
      <c r="J380" s="4"/>
      <c r="K380" s="4"/>
      <c r="L380" s="15"/>
    </row>
    <row r="381" spans="2:12" ht="18.75" x14ac:dyDescent="0.3">
      <c r="B381" s="15"/>
      <c r="C381" s="16"/>
      <c r="D381" s="16"/>
      <c r="E381" s="4"/>
      <c r="F381" s="16"/>
      <c r="G381" s="4"/>
      <c r="H381" s="4"/>
      <c r="I381" s="4"/>
      <c r="J381" s="4"/>
      <c r="K381" s="4"/>
      <c r="L381" s="15"/>
    </row>
    <row r="382" spans="2:12" ht="18.75" x14ac:dyDescent="0.3">
      <c r="B382" s="15"/>
      <c r="C382" s="16"/>
      <c r="D382" s="16"/>
      <c r="E382" s="4"/>
      <c r="F382" s="16"/>
      <c r="G382" s="4"/>
      <c r="H382" s="4"/>
      <c r="I382" s="4"/>
      <c r="J382" s="4"/>
      <c r="K382" s="4"/>
      <c r="L382" s="15"/>
    </row>
    <row r="383" spans="2:12" ht="18.75" x14ac:dyDescent="0.3">
      <c r="B383" s="15"/>
      <c r="C383" s="16"/>
      <c r="D383" s="16"/>
      <c r="E383" s="4"/>
      <c r="F383" s="16"/>
      <c r="G383" s="4"/>
      <c r="H383" s="4"/>
      <c r="I383" s="4"/>
      <c r="J383" s="4"/>
      <c r="K383" s="4"/>
      <c r="L383" s="15"/>
    </row>
    <row r="384" spans="2:12" ht="18.75" x14ac:dyDescent="0.3">
      <c r="B384" s="15"/>
      <c r="C384" s="16"/>
      <c r="D384" s="16"/>
      <c r="E384" s="4"/>
      <c r="F384" s="16"/>
      <c r="G384" s="4"/>
      <c r="H384" s="4"/>
      <c r="I384" s="4"/>
      <c r="J384" s="4"/>
      <c r="K384" s="4"/>
      <c r="L384" s="15"/>
    </row>
    <row r="385" spans="2:12" ht="18.75" x14ac:dyDescent="0.3">
      <c r="B385" s="15"/>
      <c r="C385" s="16"/>
      <c r="D385" s="16"/>
      <c r="E385" s="4"/>
      <c r="F385" s="16"/>
      <c r="G385" s="4"/>
      <c r="H385" s="4"/>
      <c r="I385" s="4"/>
      <c r="J385" s="4"/>
      <c r="K385" s="4"/>
      <c r="L385" s="15"/>
    </row>
    <row r="386" spans="2:12" ht="18.75" x14ac:dyDescent="0.3">
      <c r="B386" s="15"/>
      <c r="C386" s="16"/>
      <c r="D386" s="16"/>
      <c r="E386" s="4"/>
      <c r="F386" s="16"/>
      <c r="G386" s="4"/>
      <c r="H386" s="4"/>
      <c r="I386" s="4"/>
      <c r="J386" s="4"/>
      <c r="K386" s="4"/>
      <c r="L386" s="15"/>
    </row>
    <row r="387" spans="2:12" ht="18.75" x14ac:dyDescent="0.3">
      <c r="B387" s="15"/>
      <c r="C387" s="16"/>
      <c r="D387" s="16"/>
      <c r="E387" s="4"/>
      <c r="F387" s="16"/>
      <c r="G387" s="4"/>
      <c r="H387" s="4"/>
      <c r="I387" s="4"/>
      <c r="J387" s="4"/>
      <c r="K387" s="4"/>
      <c r="L387" s="15"/>
    </row>
    <row r="388" spans="2:12" ht="18.75" x14ac:dyDescent="0.3">
      <c r="B388" s="15"/>
      <c r="C388" s="16"/>
      <c r="D388" s="16"/>
      <c r="E388" s="4"/>
      <c r="F388" s="16"/>
      <c r="G388" s="4"/>
      <c r="H388" s="4"/>
      <c r="I388" s="4"/>
      <c r="J388" s="4"/>
      <c r="K388" s="4"/>
      <c r="L388" s="15"/>
    </row>
    <row r="389" spans="2:12" ht="18.75" x14ac:dyDescent="0.3">
      <c r="B389" s="15"/>
      <c r="C389" s="16"/>
      <c r="D389" s="16"/>
      <c r="E389" s="4"/>
      <c r="F389" s="16"/>
      <c r="G389" s="4"/>
      <c r="H389" s="4"/>
      <c r="I389" s="4"/>
      <c r="J389" s="4"/>
      <c r="K389" s="4"/>
      <c r="L389" s="15"/>
    </row>
    <row r="390" spans="2:12" ht="18.75" x14ac:dyDescent="0.3">
      <c r="B390" s="15"/>
      <c r="C390" s="16"/>
      <c r="D390" s="16"/>
      <c r="E390" s="4"/>
      <c r="F390" s="16"/>
      <c r="G390" s="4"/>
      <c r="H390" s="4"/>
      <c r="I390" s="4"/>
      <c r="J390" s="4"/>
      <c r="K390" s="4"/>
      <c r="L390" s="15"/>
    </row>
    <row r="391" spans="2:12" ht="18.75" x14ac:dyDescent="0.3">
      <c r="B391" s="15"/>
      <c r="C391" s="16"/>
      <c r="D391" s="16"/>
      <c r="E391" s="4"/>
      <c r="F391" s="16"/>
      <c r="G391" s="4"/>
      <c r="H391" s="4"/>
      <c r="I391" s="4"/>
      <c r="J391" s="4"/>
      <c r="K391" s="4"/>
      <c r="L391" s="15"/>
    </row>
    <row r="392" spans="2:12" ht="18.75" x14ac:dyDescent="0.3">
      <c r="B392" s="17"/>
      <c r="C392" s="18"/>
      <c r="D392" s="18"/>
      <c r="E392" s="18"/>
      <c r="F392" s="18"/>
      <c r="G392" s="4"/>
      <c r="H392" s="4"/>
      <c r="I392" s="4"/>
      <c r="J392" s="4"/>
      <c r="K392" s="4"/>
      <c r="L392" s="17"/>
    </row>
    <row r="393" spans="2:12" ht="18.75" x14ac:dyDescent="0.3">
      <c r="B393" s="25"/>
      <c r="C393" s="4"/>
      <c r="D393" s="4"/>
      <c r="E393" s="4"/>
      <c r="F393" s="4"/>
      <c r="G393" s="4"/>
      <c r="H393" s="4"/>
      <c r="I393" s="4"/>
      <c r="J393" s="4"/>
      <c r="K393" s="4"/>
      <c r="L393" s="25"/>
    </row>
    <row r="394" spans="2:12" ht="18.75" x14ac:dyDescent="0.25">
      <c r="B394" s="19"/>
      <c r="C394" s="20"/>
      <c r="D394" s="20"/>
      <c r="E394" s="20"/>
      <c r="F394" s="20"/>
      <c r="G394" s="20"/>
      <c r="H394" s="20"/>
      <c r="I394" s="20"/>
      <c r="J394" s="20"/>
      <c r="K394" s="20"/>
      <c r="L394" s="19"/>
    </row>
    <row r="395" spans="2:12" ht="18.75" x14ac:dyDescent="0.3">
      <c r="B395" s="52"/>
      <c r="C395" s="16"/>
      <c r="D395" s="16"/>
      <c r="E395" s="16"/>
      <c r="F395" s="56"/>
      <c r="G395" s="57"/>
      <c r="H395" s="57"/>
      <c r="I395" s="57"/>
      <c r="J395" s="57"/>
      <c r="K395" s="57"/>
      <c r="L395" s="52"/>
    </row>
    <row r="396" spans="2:12" ht="18.75" x14ac:dyDescent="0.3">
      <c r="B396" s="52"/>
      <c r="C396" s="16"/>
      <c r="D396" s="16"/>
      <c r="E396" s="16"/>
      <c r="F396" s="56"/>
      <c r="G396" s="57"/>
      <c r="H396" s="57"/>
      <c r="I396" s="57"/>
      <c r="J396" s="57"/>
      <c r="K396" s="57"/>
      <c r="L396" s="52"/>
    </row>
    <row r="397" spans="2:12" ht="18.75" x14ac:dyDescent="0.3">
      <c r="B397" s="52"/>
      <c r="C397" s="16"/>
      <c r="D397" s="16"/>
      <c r="E397" s="16"/>
      <c r="F397" s="56"/>
      <c r="G397" s="57"/>
      <c r="H397" s="57"/>
      <c r="I397" s="57"/>
      <c r="J397" s="57"/>
      <c r="K397" s="57"/>
      <c r="L397" s="52"/>
    </row>
    <row r="398" spans="2:12" ht="18.75" x14ac:dyDescent="0.3">
      <c r="B398" s="52"/>
      <c r="C398" s="16"/>
      <c r="D398" s="16"/>
      <c r="E398" s="4"/>
      <c r="F398" s="56"/>
      <c r="G398" s="57"/>
      <c r="H398" s="57"/>
      <c r="I398" s="57"/>
      <c r="J398" s="57"/>
      <c r="K398" s="57"/>
      <c r="L398" s="52"/>
    </row>
    <row r="399" spans="2:12" ht="18.75" x14ac:dyDescent="0.25">
      <c r="B399" s="52"/>
      <c r="C399" s="56"/>
      <c r="D399" s="56"/>
      <c r="E399" s="56"/>
      <c r="F399" s="56"/>
      <c r="G399" s="57"/>
      <c r="H399" s="57"/>
      <c r="I399" s="57"/>
      <c r="J399" s="57"/>
      <c r="K399" s="57"/>
      <c r="L399" s="52"/>
    </row>
    <row r="400" spans="2:12" ht="18.75" x14ac:dyDescent="0.25">
      <c r="B400" s="52"/>
      <c r="C400" s="56"/>
      <c r="D400" s="56"/>
      <c r="E400" s="56"/>
      <c r="F400" s="56"/>
      <c r="G400" s="57"/>
      <c r="H400" s="57"/>
      <c r="I400" s="57"/>
      <c r="J400" s="57"/>
      <c r="K400" s="57"/>
      <c r="L400" s="52"/>
    </row>
    <row r="401" spans="2:12" ht="18.75" x14ac:dyDescent="0.25">
      <c r="B401" s="52"/>
      <c r="C401" s="56"/>
      <c r="D401" s="56"/>
      <c r="E401" s="56"/>
      <c r="F401" s="56"/>
      <c r="G401" s="57"/>
      <c r="H401" s="57"/>
      <c r="I401" s="57"/>
      <c r="J401" s="57"/>
      <c r="K401" s="57"/>
      <c r="L401" s="52"/>
    </row>
    <row r="402" spans="2:12" ht="18.75" x14ac:dyDescent="0.25">
      <c r="B402" s="52"/>
      <c r="C402" s="56"/>
      <c r="D402" s="56"/>
      <c r="E402" s="56"/>
      <c r="F402" s="56"/>
      <c r="G402" s="57"/>
      <c r="H402" s="57"/>
      <c r="I402" s="57"/>
      <c r="J402" s="57"/>
      <c r="K402" s="57"/>
      <c r="L402" s="52"/>
    </row>
    <row r="403" spans="2:12" ht="18.75" x14ac:dyDescent="0.25">
      <c r="B403" s="52"/>
      <c r="C403" s="56"/>
      <c r="D403" s="56"/>
      <c r="E403" s="56"/>
      <c r="F403" s="56"/>
      <c r="G403" s="57"/>
      <c r="H403" s="57"/>
      <c r="I403" s="57"/>
      <c r="J403" s="57"/>
      <c r="K403" s="57"/>
      <c r="L403" s="52"/>
    </row>
    <row r="404" spans="2:12" ht="18.75" x14ac:dyDescent="0.25">
      <c r="B404" s="52"/>
      <c r="C404" s="56"/>
      <c r="D404" s="56"/>
      <c r="E404" s="56"/>
      <c r="F404" s="56"/>
      <c r="G404" s="57"/>
      <c r="H404" s="57"/>
      <c r="I404" s="57"/>
      <c r="J404" s="57"/>
      <c r="K404" s="57"/>
      <c r="L404" s="52"/>
    </row>
    <row r="405" spans="2:12" ht="18.75" x14ac:dyDescent="0.25">
      <c r="B405" s="52"/>
      <c r="C405" s="56"/>
      <c r="D405" s="56"/>
      <c r="E405" s="56"/>
      <c r="F405" s="56"/>
      <c r="G405" s="57"/>
      <c r="H405" s="57"/>
      <c r="I405" s="57"/>
      <c r="J405" s="57"/>
      <c r="K405" s="57"/>
      <c r="L405" s="52"/>
    </row>
    <row r="406" spans="2:12" ht="18.75" x14ac:dyDescent="0.25">
      <c r="B406" s="52"/>
      <c r="C406" s="56"/>
      <c r="D406" s="56"/>
      <c r="E406" s="56"/>
      <c r="F406" s="56"/>
      <c r="G406" s="57"/>
      <c r="H406" s="57"/>
      <c r="I406" s="57"/>
      <c r="J406" s="57"/>
      <c r="K406" s="57"/>
      <c r="L406" s="52"/>
    </row>
    <row r="407" spans="2:12" ht="18.75" x14ac:dyDescent="0.3">
      <c r="B407" s="17"/>
      <c r="C407" s="18"/>
      <c r="D407" s="18"/>
      <c r="E407" s="18"/>
      <c r="F407" s="18"/>
      <c r="G407" s="4"/>
      <c r="H407" s="4"/>
      <c r="I407" s="4"/>
      <c r="J407" s="4"/>
      <c r="K407" s="4"/>
      <c r="L407" s="17"/>
    </row>
    <row r="408" spans="2:12" ht="18.75" x14ac:dyDescent="0.3">
      <c r="B408" s="25"/>
      <c r="C408" s="4"/>
      <c r="D408" s="4"/>
      <c r="E408" s="4"/>
      <c r="F408" s="4"/>
      <c r="G408" s="4"/>
      <c r="H408" s="4"/>
      <c r="I408" s="4"/>
      <c r="J408" s="4"/>
      <c r="K408" s="4"/>
      <c r="L408" s="25"/>
    </row>
    <row r="409" spans="2:12" ht="18.75" x14ac:dyDescent="0.3">
      <c r="B409" s="33"/>
      <c r="C409" s="4"/>
      <c r="D409" s="4"/>
      <c r="E409" s="4"/>
      <c r="F409" s="4"/>
      <c r="G409" s="4"/>
      <c r="H409" s="4"/>
      <c r="I409" s="4"/>
      <c r="J409" s="4"/>
      <c r="K409" s="4"/>
      <c r="L409" s="33"/>
    </row>
    <row r="410" spans="2:12" ht="18.75" x14ac:dyDescent="0.3">
      <c r="B410" s="25"/>
      <c r="C410" s="4"/>
      <c r="D410" s="4"/>
      <c r="E410" s="4"/>
      <c r="F410" s="4"/>
      <c r="G410" s="4"/>
      <c r="H410" s="4"/>
      <c r="I410" s="4"/>
      <c r="J410" s="4"/>
      <c r="K410" s="4"/>
      <c r="L410" s="25"/>
    </row>
    <row r="411" spans="2:12" ht="18.75" x14ac:dyDescent="0.25">
      <c r="B411" s="19"/>
      <c r="C411" s="20"/>
      <c r="D411" s="20"/>
      <c r="E411" s="20"/>
      <c r="F411" s="20"/>
      <c r="G411" s="20"/>
      <c r="H411" s="20"/>
      <c r="I411" s="20"/>
      <c r="J411" s="20"/>
      <c r="K411" s="20"/>
      <c r="L411" s="19"/>
    </row>
    <row r="412" spans="2:12" ht="18.75" x14ac:dyDescent="0.3">
      <c r="B412" s="15"/>
      <c r="C412" s="16"/>
      <c r="D412" s="16"/>
      <c r="E412" s="16"/>
      <c r="F412" s="22"/>
      <c r="G412" s="32"/>
      <c r="H412" s="32"/>
      <c r="I412" s="32"/>
      <c r="J412" s="32"/>
      <c r="K412" s="32"/>
      <c r="L412" s="15"/>
    </row>
    <row r="413" spans="2:12" ht="18.75" x14ac:dyDescent="0.3">
      <c r="B413" s="15"/>
      <c r="C413" s="16"/>
      <c r="D413" s="16"/>
      <c r="E413" s="16"/>
      <c r="F413" s="22"/>
      <c r="G413" s="32"/>
      <c r="H413" s="32"/>
      <c r="I413" s="32"/>
      <c r="J413" s="32"/>
      <c r="K413" s="32"/>
      <c r="L413" s="15"/>
    </row>
    <row r="414" spans="2:12" ht="18.75" x14ac:dyDescent="0.3">
      <c r="B414" s="15"/>
      <c r="C414" s="16"/>
      <c r="D414" s="16"/>
      <c r="E414" s="16"/>
      <c r="F414" s="22"/>
      <c r="G414" s="32"/>
      <c r="H414" s="32"/>
      <c r="I414" s="32"/>
      <c r="J414" s="32"/>
      <c r="K414" s="32"/>
      <c r="L414" s="15"/>
    </row>
    <row r="415" spans="2:12" ht="18.75" x14ac:dyDescent="0.3">
      <c r="B415" s="15"/>
      <c r="C415" s="16"/>
      <c r="D415" s="16"/>
      <c r="E415" s="16"/>
      <c r="F415" s="22"/>
      <c r="G415" s="32"/>
      <c r="H415" s="32"/>
      <c r="I415" s="32"/>
      <c r="J415" s="32"/>
      <c r="K415" s="32"/>
      <c r="L415" s="15"/>
    </row>
    <row r="416" spans="2:12" ht="18.75" x14ac:dyDescent="0.3">
      <c r="B416" s="15"/>
      <c r="C416" s="16"/>
      <c r="D416" s="16"/>
      <c r="E416" s="16"/>
      <c r="F416" s="22"/>
      <c r="G416" s="32"/>
      <c r="H416" s="32"/>
      <c r="I416" s="32"/>
      <c r="J416" s="32"/>
      <c r="K416" s="32"/>
      <c r="L416" s="15"/>
    </row>
    <row r="417" spans="2:12" ht="18.75" x14ac:dyDescent="0.3">
      <c r="B417" s="15"/>
      <c r="C417" s="16"/>
      <c r="D417" s="16"/>
      <c r="E417" s="16"/>
      <c r="F417" s="22"/>
      <c r="G417" s="32"/>
      <c r="H417" s="32"/>
      <c r="I417" s="32"/>
      <c r="J417" s="32"/>
      <c r="K417" s="32"/>
      <c r="L417" s="15"/>
    </row>
    <row r="418" spans="2:12" ht="18.75" x14ac:dyDescent="0.3">
      <c r="B418" s="15"/>
      <c r="C418" s="16"/>
      <c r="D418" s="16"/>
      <c r="E418" s="16"/>
      <c r="F418" s="22"/>
      <c r="G418" s="32"/>
      <c r="H418" s="32"/>
      <c r="I418" s="32"/>
      <c r="J418" s="32"/>
      <c r="K418" s="32"/>
      <c r="L418" s="15"/>
    </row>
    <row r="419" spans="2:12" ht="18.75" x14ac:dyDescent="0.3">
      <c r="B419" s="15"/>
      <c r="C419" s="16"/>
      <c r="D419" s="16"/>
      <c r="E419" s="16"/>
      <c r="F419" s="22"/>
      <c r="G419" s="32"/>
      <c r="H419" s="32"/>
      <c r="I419" s="32"/>
      <c r="J419" s="32"/>
      <c r="K419" s="32"/>
      <c r="L419" s="15"/>
    </row>
    <row r="420" spans="2:12" ht="18.75" x14ac:dyDescent="0.3">
      <c r="B420" s="15"/>
      <c r="C420" s="16"/>
      <c r="D420" s="16"/>
      <c r="E420" s="16"/>
      <c r="F420" s="22"/>
      <c r="G420" s="32"/>
      <c r="H420" s="32"/>
      <c r="I420" s="32"/>
      <c r="J420" s="32"/>
      <c r="K420" s="32"/>
      <c r="L420" s="15"/>
    </row>
    <row r="421" spans="2:12" ht="18.75" x14ac:dyDescent="0.3">
      <c r="B421" s="15"/>
      <c r="C421" s="16"/>
      <c r="D421" s="16"/>
      <c r="E421" s="16"/>
      <c r="F421" s="22"/>
      <c r="G421" s="32"/>
      <c r="H421" s="32"/>
      <c r="I421" s="32"/>
      <c r="J421" s="32"/>
      <c r="K421" s="32"/>
      <c r="L421" s="15"/>
    </row>
    <row r="422" spans="2:12" ht="18.75" x14ac:dyDescent="0.3">
      <c r="B422" s="15"/>
      <c r="C422" s="16"/>
      <c r="D422" s="16"/>
      <c r="E422" s="16"/>
      <c r="F422" s="22"/>
      <c r="G422" s="32"/>
      <c r="H422" s="32"/>
      <c r="I422" s="32"/>
      <c r="J422" s="32"/>
      <c r="K422" s="32"/>
      <c r="L422" s="15"/>
    </row>
    <row r="423" spans="2:12" ht="18.75" x14ac:dyDescent="0.3">
      <c r="B423" s="15"/>
      <c r="C423" s="16"/>
      <c r="D423" s="16"/>
      <c r="E423" s="16"/>
      <c r="F423" s="22"/>
      <c r="G423" s="32"/>
      <c r="H423" s="32"/>
      <c r="I423" s="32"/>
      <c r="J423" s="32"/>
      <c r="K423" s="32"/>
      <c r="L423" s="15"/>
    </row>
    <row r="424" spans="2:12" ht="18.75" x14ac:dyDescent="0.3">
      <c r="B424" s="17"/>
      <c r="C424" s="18"/>
      <c r="D424" s="18"/>
      <c r="E424" s="18"/>
      <c r="F424" s="18"/>
      <c r="G424" s="4"/>
      <c r="H424" s="4"/>
      <c r="I424" s="4"/>
      <c r="J424" s="4"/>
      <c r="K424" s="4"/>
      <c r="L424" s="17"/>
    </row>
    <row r="425" spans="2:12" ht="18.75" x14ac:dyDescent="0.3">
      <c r="B425" s="25"/>
      <c r="C425" s="4"/>
      <c r="D425" s="4"/>
      <c r="E425" s="4"/>
      <c r="F425" s="4"/>
      <c r="G425" s="4"/>
      <c r="H425" s="4"/>
      <c r="I425" s="4"/>
      <c r="J425" s="4"/>
      <c r="K425" s="4"/>
      <c r="L425" s="25"/>
    </row>
    <row r="426" spans="2:12" ht="18.75" x14ac:dyDescent="0.25">
      <c r="B426" s="19"/>
      <c r="C426" s="20"/>
      <c r="D426" s="20"/>
      <c r="E426" s="20"/>
      <c r="F426" s="20"/>
      <c r="G426" s="20"/>
      <c r="H426" s="20"/>
      <c r="I426" s="20"/>
      <c r="J426" s="20"/>
      <c r="K426" s="20"/>
      <c r="L426" s="19"/>
    </row>
    <row r="427" spans="2:12" ht="18.75" x14ac:dyDescent="0.3">
      <c r="B427" s="15"/>
      <c r="C427" s="63"/>
      <c r="D427" s="63"/>
      <c r="E427" s="4"/>
      <c r="F427" s="63"/>
      <c r="G427" s="4"/>
      <c r="H427" s="4"/>
      <c r="I427" s="4"/>
      <c r="J427" s="4"/>
      <c r="K427" s="4"/>
      <c r="L427" s="15"/>
    </row>
    <row r="428" spans="2:12" ht="18.75" x14ac:dyDescent="0.3">
      <c r="B428" s="15"/>
      <c r="C428" s="63"/>
      <c r="D428" s="63"/>
      <c r="E428" s="21"/>
      <c r="F428" s="63"/>
      <c r="G428" s="4"/>
      <c r="H428" s="4"/>
      <c r="I428" s="4"/>
      <c r="J428" s="4"/>
      <c r="K428" s="4"/>
      <c r="L428" s="15"/>
    </row>
    <row r="429" spans="2:12" ht="18.75" x14ac:dyDescent="0.3">
      <c r="B429" s="15"/>
      <c r="C429" s="63"/>
      <c r="D429" s="63"/>
      <c r="E429" s="21"/>
      <c r="F429" s="63"/>
      <c r="G429" s="4"/>
      <c r="H429" s="4"/>
      <c r="I429" s="4"/>
      <c r="J429" s="4"/>
      <c r="K429" s="4"/>
      <c r="L429" s="15"/>
    </row>
    <row r="430" spans="2:12" ht="18.75" x14ac:dyDescent="0.3">
      <c r="B430" s="15"/>
      <c r="C430" s="63"/>
      <c r="D430" s="63"/>
      <c r="E430" s="4"/>
      <c r="F430" s="63"/>
      <c r="G430" s="4"/>
      <c r="H430" s="4"/>
      <c r="I430" s="4"/>
      <c r="J430" s="4"/>
      <c r="K430" s="4"/>
      <c r="L430" s="15"/>
    </row>
    <row r="431" spans="2:12" ht="18.75" x14ac:dyDescent="0.3">
      <c r="B431" s="15"/>
      <c r="C431" s="63"/>
      <c r="D431" s="63"/>
      <c r="E431" s="4"/>
      <c r="F431" s="63"/>
      <c r="G431" s="4"/>
      <c r="H431" s="4"/>
      <c r="I431" s="4"/>
      <c r="J431" s="4"/>
      <c r="K431" s="4"/>
      <c r="L431" s="15"/>
    </row>
    <row r="432" spans="2:12" ht="18.75" x14ac:dyDescent="0.3">
      <c r="B432" s="15"/>
      <c r="C432" s="63"/>
      <c r="D432" s="63"/>
      <c r="E432" s="4"/>
      <c r="F432" s="63"/>
      <c r="G432" s="4"/>
      <c r="H432" s="4"/>
      <c r="I432" s="4"/>
      <c r="J432" s="4"/>
      <c r="K432" s="4"/>
      <c r="L432" s="15"/>
    </row>
    <row r="433" spans="2:12" ht="18.75" x14ac:dyDescent="0.3">
      <c r="B433" s="15"/>
      <c r="C433" s="63"/>
      <c r="D433" s="63"/>
      <c r="E433" s="4"/>
      <c r="F433" s="63"/>
      <c r="G433" s="4"/>
      <c r="H433" s="4"/>
      <c r="I433" s="4"/>
      <c r="J433" s="4"/>
      <c r="K433" s="4"/>
      <c r="L433" s="15"/>
    </row>
    <row r="434" spans="2:12" ht="18.75" x14ac:dyDescent="0.3">
      <c r="B434" s="15"/>
      <c r="C434" s="63"/>
      <c r="D434" s="63"/>
      <c r="E434" s="4"/>
      <c r="F434" s="63"/>
      <c r="G434" s="4"/>
      <c r="H434" s="4"/>
      <c r="I434" s="4"/>
      <c r="J434" s="4"/>
      <c r="K434" s="4"/>
      <c r="L434" s="15"/>
    </row>
    <row r="435" spans="2:12" ht="18.75" x14ac:dyDescent="0.3">
      <c r="B435" s="15"/>
      <c r="C435" s="63"/>
      <c r="D435" s="63"/>
      <c r="E435" s="4"/>
      <c r="F435" s="63"/>
      <c r="G435" s="4"/>
      <c r="H435" s="4"/>
      <c r="I435" s="4"/>
      <c r="J435" s="4"/>
      <c r="K435" s="4"/>
      <c r="L435" s="15"/>
    </row>
    <row r="436" spans="2:12" ht="18.75" x14ac:dyDescent="0.3">
      <c r="B436" s="15"/>
      <c r="C436" s="63"/>
      <c r="D436" s="63"/>
      <c r="E436" s="4"/>
      <c r="F436" s="63"/>
      <c r="G436" s="4"/>
      <c r="H436" s="4"/>
      <c r="I436" s="4"/>
      <c r="J436" s="4"/>
      <c r="K436" s="4"/>
      <c r="L436" s="15"/>
    </row>
    <row r="437" spans="2:12" ht="18.75" x14ac:dyDescent="0.3">
      <c r="B437" s="15"/>
      <c r="C437" s="63"/>
      <c r="D437" s="63"/>
      <c r="E437" s="4"/>
      <c r="F437" s="63"/>
      <c r="G437" s="4"/>
      <c r="H437" s="4"/>
      <c r="I437" s="4"/>
      <c r="J437" s="4"/>
      <c r="K437" s="4"/>
      <c r="L437" s="15"/>
    </row>
    <row r="438" spans="2:12" ht="18.75" x14ac:dyDescent="0.3">
      <c r="B438" s="15"/>
      <c r="C438" s="63"/>
      <c r="D438" s="63"/>
      <c r="E438" s="4"/>
      <c r="F438" s="63"/>
      <c r="G438" s="4"/>
      <c r="H438" s="4"/>
      <c r="I438" s="4"/>
      <c r="J438" s="4"/>
      <c r="K438" s="4"/>
      <c r="L438" s="15"/>
    </row>
    <row r="439" spans="2:12" ht="18.75" x14ac:dyDescent="0.3">
      <c r="B439" s="17"/>
      <c r="C439" s="18"/>
      <c r="D439" s="18"/>
      <c r="E439" s="18"/>
      <c r="F439" s="18"/>
      <c r="G439" s="4"/>
      <c r="H439" s="4"/>
      <c r="I439" s="4"/>
      <c r="J439" s="4"/>
      <c r="K439" s="4"/>
      <c r="L439" s="17"/>
    </row>
    <row r="440" spans="2:12" ht="18.75" x14ac:dyDescent="0.3">
      <c r="B440" s="25"/>
      <c r="C440" s="4"/>
      <c r="D440" s="4"/>
      <c r="E440" s="4"/>
      <c r="F440" s="4"/>
      <c r="G440" s="4"/>
      <c r="H440" s="4"/>
      <c r="I440" s="4"/>
      <c r="J440" s="4"/>
      <c r="K440" s="4"/>
      <c r="L440" s="25"/>
    </row>
    <row r="441" spans="2:12" ht="18.75" x14ac:dyDescent="0.25">
      <c r="B441" s="19"/>
      <c r="C441" s="20"/>
      <c r="D441" s="20"/>
      <c r="E441" s="20"/>
      <c r="F441" s="20"/>
      <c r="G441" s="20"/>
      <c r="H441" s="20"/>
      <c r="I441" s="20"/>
      <c r="J441" s="20"/>
      <c r="K441" s="20"/>
      <c r="L441" s="19"/>
    </row>
    <row r="442" spans="2:12" ht="18.75" x14ac:dyDescent="0.3">
      <c r="B442" s="15"/>
      <c r="C442" s="63"/>
      <c r="D442" s="63"/>
      <c r="E442" s="4"/>
      <c r="F442" s="63"/>
      <c r="G442" s="4"/>
      <c r="H442" s="4"/>
      <c r="I442" s="4"/>
      <c r="J442" s="4"/>
      <c r="K442" s="4"/>
      <c r="L442" s="15"/>
    </row>
    <row r="443" spans="2:12" ht="18.75" x14ac:dyDescent="0.3">
      <c r="B443" s="15"/>
      <c r="C443" s="63"/>
      <c r="D443" s="63"/>
      <c r="E443" s="4"/>
      <c r="F443" s="63"/>
      <c r="G443" s="4"/>
      <c r="H443" s="4"/>
      <c r="I443" s="4"/>
      <c r="J443" s="4"/>
      <c r="K443" s="4"/>
      <c r="L443" s="15"/>
    </row>
    <row r="444" spans="2:12" ht="18.75" x14ac:dyDescent="0.3">
      <c r="B444" s="15"/>
      <c r="C444" s="63"/>
      <c r="D444" s="63"/>
      <c r="E444" s="4"/>
      <c r="F444" s="63"/>
      <c r="G444" s="4"/>
      <c r="H444" s="4"/>
      <c r="I444" s="4"/>
      <c r="J444" s="4"/>
      <c r="K444" s="4"/>
      <c r="L444" s="15"/>
    </row>
    <row r="445" spans="2:12" ht="18.75" x14ac:dyDescent="0.3">
      <c r="B445" s="15"/>
      <c r="C445" s="63"/>
      <c r="D445" s="63"/>
      <c r="E445" s="4"/>
      <c r="F445" s="63"/>
      <c r="G445" s="4"/>
      <c r="H445" s="4"/>
      <c r="I445" s="4"/>
      <c r="J445" s="4"/>
      <c r="K445" s="4"/>
      <c r="L445" s="15"/>
    </row>
    <row r="446" spans="2:12" ht="18.75" x14ac:dyDescent="0.3">
      <c r="B446" s="15"/>
      <c r="C446" s="63"/>
      <c r="D446" s="63"/>
      <c r="E446" s="4"/>
      <c r="F446" s="63"/>
      <c r="G446" s="4"/>
      <c r="H446" s="4"/>
      <c r="I446" s="4"/>
      <c r="J446" s="4"/>
      <c r="K446" s="4"/>
      <c r="L446" s="15"/>
    </row>
    <row r="447" spans="2:12" ht="18.75" x14ac:dyDescent="0.3">
      <c r="B447" s="15"/>
      <c r="C447" s="63"/>
      <c r="D447" s="63"/>
      <c r="E447" s="4"/>
      <c r="F447" s="63"/>
      <c r="G447" s="4"/>
      <c r="H447" s="4"/>
      <c r="I447" s="4"/>
      <c r="J447" s="4"/>
      <c r="K447" s="4"/>
      <c r="L447" s="15"/>
    </row>
    <row r="448" spans="2:12" ht="18.75" x14ac:dyDescent="0.3">
      <c r="B448" s="15"/>
      <c r="C448" s="63"/>
      <c r="D448" s="63"/>
      <c r="E448" s="4"/>
      <c r="F448" s="63"/>
      <c r="G448" s="4"/>
      <c r="H448" s="4"/>
      <c r="I448" s="4"/>
      <c r="J448" s="4"/>
      <c r="K448" s="4"/>
      <c r="L448" s="15"/>
    </row>
    <row r="449" spans="2:12" ht="18.75" x14ac:dyDescent="0.3">
      <c r="B449" s="15"/>
      <c r="C449" s="63"/>
      <c r="D449" s="63"/>
      <c r="E449" s="4"/>
      <c r="F449" s="63"/>
      <c r="G449" s="4"/>
      <c r="H449" s="4"/>
      <c r="I449" s="4"/>
      <c r="J449" s="4"/>
      <c r="K449" s="4"/>
      <c r="L449" s="15"/>
    </row>
    <row r="450" spans="2:12" ht="18.75" x14ac:dyDescent="0.3">
      <c r="B450" s="15"/>
      <c r="C450" s="63"/>
      <c r="D450" s="63"/>
      <c r="E450" s="4"/>
      <c r="F450" s="63"/>
      <c r="G450" s="4"/>
      <c r="H450" s="4"/>
      <c r="I450" s="4"/>
      <c r="J450" s="4"/>
      <c r="K450" s="4"/>
      <c r="L450" s="15"/>
    </row>
    <row r="451" spans="2:12" ht="18.75" x14ac:dyDescent="0.3">
      <c r="B451" s="15"/>
      <c r="C451" s="63"/>
      <c r="D451" s="63"/>
      <c r="E451" s="4"/>
      <c r="F451" s="63"/>
      <c r="G451" s="4"/>
      <c r="H451" s="4"/>
      <c r="I451" s="4"/>
      <c r="J451" s="4"/>
      <c r="K451" s="4"/>
      <c r="L451" s="15"/>
    </row>
    <row r="452" spans="2:12" ht="18.75" x14ac:dyDescent="0.3">
      <c r="B452" s="15"/>
      <c r="C452" s="63"/>
      <c r="D452" s="63"/>
      <c r="E452" s="4"/>
      <c r="F452" s="63"/>
      <c r="G452" s="4"/>
      <c r="H452" s="4"/>
      <c r="I452" s="4"/>
      <c r="J452" s="4"/>
      <c r="K452" s="4"/>
      <c r="L452" s="15"/>
    </row>
    <row r="453" spans="2:12" ht="18.75" x14ac:dyDescent="0.3">
      <c r="B453" s="15"/>
      <c r="C453" s="63"/>
      <c r="D453" s="63"/>
      <c r="E453" s="4"/>
      <c r="F453" s="63"/>
      <c r="G453" s="4"/>
      <c r="H453" s="4"/>
      <c r="I453" s="4"/>
      <c r="J453" s="4"/>
      <c r="K453" s="4"/>
      <c r="L453" s="15"/>
    </row>
    <row r="454" spans="2:12" ht="18.75" x14ac:dyDescent="0.3">
      <c r="B454" s="15"/>
      <c r="C454" s="63"/>
      <c r="D454" s="63"/>
      <c r="E454" s="4"/>
      <c r="F454" s="63"/>
      <c r="G454" s="4"/>
      <c r="H454" s="4"/>
      <c r="I454" s="4"/>
      <c r="J454" s="4"/>
      <c r="K454" s="4"/>
      <c r="L454" s="15"/>
    </row>
    <row r="455" spans="2:12" ht="18.75" x14ac:dyDescent="0.3">
      <c r="B455" s="17"/>
      <c r="C455" s="18"/>
      <c r="D455" s="18"/>
      <c r="E455" s="18"/>
      <c r="F455" s="18"/>
      <c r="G455" s="4"/>
      <c r="H455" s="4"/>
      <c r="I455" s="4"/>
      <c r="J455" s="4"/>
      <c r="K455" s="4"/>
      <c r="L455" s="17"/>
    </row>
    <row r="456" spans="2:12" ht="18.75" x14ac:dyDescent="0.3">
      <c r="B456" s="17"/>
      <c r="C456" s="18"/>
      <c r="D456" s="18"/>
      <c r="E456" s="18"/>
      <c r="F456" s="18"/>
      <c r="G456" s="4"/>
      <c r="H456" s="4"/>
      <c r="I456" s="4"/>
      <c r="J456" s="4"/>
      <c r="K456" s="4"/>
      <c r="L456" s="17"/>
    </row>
    <row r="457" spans="2:12" ht="18.75" x14ac:dyDescent="0.25">
      <c r="B457" s="19"/>
      <c r="C457" s="20"/>
      <c r="D457" s="20"/>
      <c r="E457" s="20"/>
      <c r="F457" s="20"/>
      <c r="G457" s="20"/>
      <c r="H457" s="20"/>
      <c r="I457" s="20"/>
      <c r="J457" s="20"/>
      <c r="K457" s="20"/>
      <c r="L457" s="19"/>
    </row>
    <row r="458" spans="2:12" ht="18.75" x14ac:dyDescent="0.3">
      <c r="B458" s="64"/>
      <c r="C458" s="65"/>
      <c r="D458" s="65"/>
      <c r="E458" s="65"/>
      <c r="F458" s="65"/>
      <c r="G458" s="65"/>
      <c r="H458" s="65"/>
      <c r="I458" s="65"/>
      <c r="J458" s="65"/>
      <c r="K458" s="65"/>
      <c r="L458" s="64"/>
    </row>
    <row r="459" spans="2:12" ht="18.75" x14ac:dyDescent="0.3">
      <c r="B459" s="64"/>
      <c r="C459" s="65"/>
      <c r="D459" s="65"/>
      <c r="E459" s="65"/>
      <c r="F459" s="65"/>
      <c r="G459" s="65"/>
      <c r="H459" s="65"/>
      <c r="I459" s="65"/>
      <c r="J459" s="65"/>
      <c r="K459" s="65"/>
      <c r="L459" s="64"/>
    </row>
    <row r="460" spans="2:12" ht="18.75" x14ac:dyDescent="0.3">
      <c r="B460" s="64"/>
      <c r="C460" s="65"/>
      <c r="D460" s="65"/>
      <c r="E460" s="65"/>
      <c r="F460" s="65"/>
      <c r="G460" s="65"/>
      <c r="H460" s="65"/>
      <c r="I460" s="65"/>
      <c r="J460" s="65"/>
      <c r="K460" s="65"/>
      <c r="L460" s="64"/>
    </row>
    <row r="461" spans="2:12" ht="18.75" x14ac:dyDescent="0.3">
      <c r="B461" s="64"/>
      <c r="C461" s="65"/>
      <c r="D461" s="65"/>
      <c r="E461" s="65"/>
      <c r="F461" s="65"/>
      <c r="G461" s="65"/>
      <c r="H461" s="65"/>
      <c r="I461" s="65"/>
      <c r="J461" s="65"/>
      <c r="K461" s="65"/>
      <c r="L461" s="64"/>
    </row>
    <row r="462" spans="2:12" ht="18.75" x14ac:dyDescent="0.3">
      <c r="B462" s="64"/>
      <c r="C462" s="65"/>
      <c r="D462" s="65"/>
      <c r="E462" s="65"/>
      <c r="F462" s="65"/>
      <c r="G462" s="65"/>
      <c r="H462" s="65"/>
      <c r="I462" s="65"/>
      <c r="J462" s="65"/>
      <c r="K462" s="65"/>
      <c r="L462" s="64"/>
    </row>
    <row r="463" spans="2:12" ht="18.75" x14ac:dyDescent="0.3">
      <c r="B463" s="64"/>
      <c r="C463" s="65"/>
      <c r="D463" s="65"/>
      <c r="E463" s="65"/>
      <c r="F463" s="65"/>
      <c r="G463" s="65"/>
      <c r="H463" s="65"/>
      <c r="I463" s="65"/>
      <c r="J463" s="65"/>
      <c r="K463" s="65"/>
      <c r="L463" s="64"/>
    </row>
    <row r="464" spans="2:12" ht="18.75" x14ac:dyDescent="0.3">
      <c r="B464" s="64"/>
      <c r="C464" s="65"/>
      <c r="D464" s="65"/>
      <c r="E464" s="65"/>
      <c r="F464" s="65"/>
      <c r="G464" s="65"/>
      <c r="H464" s="65"/>
      <c r="I464" s="65"/>
      <c r="J464" s="65"/>
      <c r="K464" s="65"/>
      <c r="L464" s="64"/>
    </row>
    <row r="465" spans="2:12" ht="18.75" x14ac:dyDescent="0.3">
      <c r="B465" s="64"/>
      <c r="C465" s="65"/>
      <c r="D465" s="65"/>
      <c r="E465" s="65"/>
      <c r="F465" s="65"/>
      <c r="G465" s="65"/>
      <c r="H465" s="65"/>
      <c r="I465" s="65"/>
      <c r="J465" s="65"/>
      <c r="K465" s="65"/>
      <c r="L465" s="64"/>
    </row>
    <row r="466" spans="2:12" ht="18.75" x14ac:dyDescent="0.3">
      <c r="B466" s="64"/>
      <c r="C466" s="65"/>
      <c r="D466" s="65"/>
      <c r="E466" s="65"/>
      <c r="F466" s="65"/>
      <c r="G466" s="65"/>
      <c r="H466" s="65"/>
      <c r="I466" s="65"/>
      <c r="J466" s="65"/>
      <c r="K466" s="65"/>
      <c r="L466" s="64"/>
    </row>
    <row r="467" spans="2:12" ht="18.75" x14ac:dyDescent="0.3">
      <c r="B467" s="64"/>
      <c r="C467" s="65"/>
      <c r="D467" s="65"/>
      <c r="E467" s="65"/>
      <c r="F467" s="65"/>
      <c r="G467" s="65"/>
      <c r="H467" s="65"/>
      <c r="I467" s="65"/>
      <c r="J467" s="65"/>
      <c r="K467" s="65"/>
      <c r="L467" s="64"/>
    </row>
    <row r="468" spans="2:12" ht="18.75" x14ac:dyDescent="0.3">
      <c r="B468" s="64"/>
      <c r="C468" s="65"/>
      <c r="D468" s="65"/>
      <c r="E468" s="65"/>
      <c r="F468" s="65"/>
      <c r="G468" s="65"/>
      <c r="H468" s="65"/>
      <c r="I468" s="65"/>
      <c r="J468" s="65"/>
      <c r="K468" s="65"/>
      <c r="L468" s="64"/>
    </row>
    <row r="469" spans="2:12" ht="18.75" x14ac:dyDescent="0.3">
      <c r="B469" s="64"/>
      <c r="C469" s="65"/>
      <c r="D469" s="65"/>
      <c r="E469" s="65"/>
      <c r="F469" s="65"/>
      <c r="G469" s="65"/>
      <c r="H469" s="65"/>
      <c r="I469" s="65"/>
      <c r="J469" s="65"/>
      <c r="K469" s="65"/>
      <c r="L469" s="64"/>
    </row>
    <row r="470" spans="2:12" ht="18.75" x14ac:dyDescent="0.3">
      <c r="B470" s="17"/>
      <c r="C470" s="18"/>
      <c r="D470" s="18"/>
      <c r="E470" s="18"/>
      <c r="F470" s="18"/>
      <c r="G470" s="4"/>
      <c r="H470" s="4"/>
      <c r="I470" s="4"/>
      <c r="J470" s="4"/>
      <c r="K470" s="4"/>
      <c r="L470" s="17"/>
    </row>
    <row r="471" spans="2:12" ht="18.75" x14ac:dyDescent="0.3">
      <c r="B471" s="25"/>
      <c r="C471" s="4"/>
      <c r="D471" s="4"/>
      <c r="E471" s="4"/>
      <c r="F471" s="4"/>
      <c r="G471" s="4"/>
      <c r="H471" s="4"/>
      <c r="I471" s="4"/>
      <c r="J471" s="4"/>
      <c r="K471" s="4"/>
      <c r="L471" s="25"/>
    </row>
    <row r="472" spans="2:12" ht="18.75" x14ac:dyDescent="0.25">
      <c r="B472" s="19"/>
      <c r="C472" s="20"/>
      <c r="D472" s="20"/>
      <c r="E472" s="20"/>
      <c r="F472" s="20"/>
      <c r="G472" s="20"/>
      <c r="H472" s="20"/>
      <c r="I472" s="20"/>
      <c r="J472" s="20"/>
      <c r="K472" s="20"/>
      <c r="L472" s="19"/>
    </row>
    <row r="473" spans="2:12" ht="18.75" x14ac:dyDescent="0.3">
      <c r="B473" s="15"/>
      <c r="C473" s="16"/>
      <c r="D473" s="16"/>
      <c r="E473" s="16"/>
      <c r="F473" s="16"/>
      <c r="G473" s="4"/>
      <c r="H473" s="4"/>
      <c r="I473" s="4"/>
      <c r="J473" s="4"/>
      <c r="K473" s="4"/>
      <c r="L473" s="15"/>
    </row>
    <row r="474" spans="2:12" ht="18.75" x14ac:dyDescent="0.3">
      <c r="B474" s="15"/>
      <c r="C474" s="16"/>
      <c r="D474" s="16"/>
      <c r="E474" s="16"/>
      <c r="F474" s="16"/>
      <c r="G474" s="4"/>
      <c r="H474" s="4"/>
      <c r="I474" s="4"/>
      <c r="J474" s="4"/>
      <c r="K474" s="4"/>
      <c r="L474" s="15"/>
    </row>
    <row r="475" spans="2:12" ht="18.75" x14ac:dyDescent="0.3">
      <c r="B475" s="15"/>
      <c r="C475" s="16"/>
      <c r="D475" s="16"/>
      <c r="E475" s="16"/>
      <c r="F475" s="16"/>
      <c r="G475" s="4"/>
      <c r="H475" s="4"/>
      <c r="I475" s="4"/>
      <c r="J475" s="4"/>
      <c r="K475" s="4"/>
      <c r="L475" s="15"/>
    </row>
    <row r="476" spans="2:12" ht="18.75" x14ac:dyDescent="0.3">
      <c r="B476" s="15"/>
      <c r="C476" s="16"/>
      <c r="D476" s="16"/>
      <c r="E476" s="16"/>
      <c r="F476" s="16"/>
      <c r="G476" s="4"/>
      <c r="H476" s="4"/>
      <c r="I476" s="4"/>
      <c r="J476" s="4"/>
      <c r="K476" s="4"/>
      <c r="L476" s="15"/>
    </row>
    <row r="477" spans="2:12" ht="18.75" x14ac:dyDescent="0.3">
      <c r="B477" s="15"/>
      <c r="C477" s="16"/>
      <c r="D477" s="16"/>
      <c r="E477" s="16"/>
      <c r="F477" s="16"/>
      <c r="G477" s="4"/>
      <c r="H477" s="4"/>
      <c r="I477" s="4"/>
      <c r="J477" s="4"/>
      <c r="K477" s="4"/>
      <c r="L477" s="15"/>
    </row>
    <row r="478" spans="2:12" ht="18.75" x14ac:dyDescent="0.3">
      <c r="B478" s="15"/>
      <c r="C478" s="16"/>
      <c r="D478" s="16"/>
      <c r="E478" s="16"/>
      <c r="F478" s="16"/>
      <c r="G478" s="4"/>
      <c r="H478" s="4"/>
      <c r="I478" s="4"/>
      <c r="J478" s="4"/>
      <c r="K478" s="4"/>
      <c r="L478" s="15"/>
    </row>
    <row r="479" spans="2:12" ht="18.75" x14ac:dyDescent="0.3">
      <c r="B479" s="15"/>
      <c r="C479" s="16"/>
      <c r="D479" s="16"/>
      <c r="E479" s="16"/>
      <c r="F479" s="16"/>
      <c r="G479" s="4"/>
      <c r="H479" s="4"/>
      <c r="I479" s="4"/>
      <c r="J479" s="4"/>
      <c r="K479" s="4"/>
      <c r="L479" s="15"/>
    </row>
    <row r="480" spans="2:12" ht="18.75" x14ac:dyDescent="0.3">
      <c r="B480" s="15"/>
      <c r="C480" s="16"/>
      <c r="D480" s="16"/>
      <c r="E480" s="16"/>
      <c r="F480" s="16"/>
      <c r="G480" s="4"/>
      <c r="H480" s="4"/>
      <c r="I480" s="4"/>
      <c r="J480" s="4"/>
      <c r="K480" s="4"/>
      <c r="L480" s="15"/>
    </row>
    <row r="481" spans="2:12" ht="18.75" x14ac:dyDescent="0.3">
      <c r="B481" s="15"/>
      <c r="C481" s="16"/>
      <c r="D481" s="16"/>
      <c r="E481" s="16"/>
      <c r="F481" s="16"/>
      <c r="G481" s="4"/>
      <c r="H481" s="4"/>
      <c r="I481" s="4"/>
      <c r="J481" s="4"/>
      <c r="K481" s="4"/>
      <c r="L481" s="15"/>
    </row>
    <row r="482" spans="2:12" ht="18.75" x14ac:dyDescent="0.3">
      <c r="B482" s="15"/>
      <c r="C482" s="16"/>
      <c r="D482" s="16"/>
      <c r="E482" s="16"/>
      <c r="F482" s="16"/>
      <c r="G482" s="4"/>
      <c r="H482" s="4"/>
      <c r="I482" s="4"/>
      <c r="J482" s="4"/>
      <c r="K482" s="4"/>
      <c r="L482" s="15"/>
    </row>
    <row r="483" spans="2:12" ht="18.75" x14ac:dyDescent="0.3">
      <c r="B483" s="15"/>
      <c r="C483" s="16"/>
      <c r="D483" s="16"/>
      <c r="E483" s="16"/>
      <c r="F483" s="16"/>
      <c r="G483" s="4"/>
      <c r="H483" s="4"/>
      <c r="I483" s="4"/>
      <c r="J483" s="4"/>
      <c r="K483" s="4"/>
      <c r="L483" s="15"/>
    </row>
    <row r="484" spans="2:12" ht="18.75" x14ac:dyDescent="0.3">
      <c r="B484" s="15"/>
      <c r="C484" s="16"/>
      <c r="D484" s="16"/>
      <c r="E484" s="16"/>
      <c r="F484" s="16"/>
      <c r="G484" s="4"/>
      <c r="H484" s="4"/>
      <c r="I484" s="4"/>
      <c r="J484" s="4"/>
      <c r="K484" s="4"/>
      <c r="L484" s="15"/>
    </row>
    <row r="485" spans="2:12" ht="18.75" x14ac:dyDescent="0.3">
      <c r="B485" s="17"/>
      <c r="C485" s="18"/>
      <c r="D485" s="18"/>
      <c r="E485" s="18"/>
      <c r="F485" s="18"/>
      <c r="G485" s="4"/>
      <c r="H485" s="4"/>
      <c r="I485" s="4"/>
      <c r="J485" s="4"/>
      <c r="K485" s="4"/>
      <c r="L485" s="17"/>
    </row>
    <row r="486" spans="2:12" ht="18.75" x14ac:dyDescent="0.3">
      <c r="B486" s="25"/>
      <c r="C486" s="4"/>
      <c r="D486" s="4"/>
      <c r="E486" s="4"/>
      <c r="F486" s="4"/>
      <c r="G486" s="4"/>
      <c r="H486" s="4"/>
      <c r="I486" s="4"/>
      <c r="J486" s="4"/>
      <c r="K486" s="4"/>
      <c r="L486" s="25"/>
    </row>
    <row r="487" spans="2:12" ht="18.75" x14ac:dyDescent="0.25">
      <c r="B487" s="19"/>
      <c r="C487" s="20"/>
      <c r="D487" s="20"/>
      <c r="E487" s="20"/>
      <c r="F487" s="20"/>
      <c r="G487" s="20"/>
      <c r="H487" s="20"/>
      <c r="I487" s="20"/>
      <c r="J487" s="20"/>
      <c r="K487" s="20"/>
      <c r="L487" s="19"/>
    </row>
    <row r="488" spans="2:12" ht="18.75" x14ac:dyDescent="0.3">
      <c r="B488" s="15"/>
      <c r="C488" s="16"/>
      <c r="D488" s="16"/>
      <c r="E488" s="4"/>
      <c r="F488" s="16"/>
      <c r="G488" s="25"/>
      <c r="H488" s="25"/>
      <c r="I488" s="25"/>
      <c r="J488" s="25"/>
      <c r="K488" s="25"/>
      <c r="L488" s="15"/>
    </row>
    <row r="489" spans="2:12" ht="18.75" x14ac:dyDescent="0.3">
      <c r="B489" s="15"/>
      <c r="C489" s="16"/>
      <c r="D489" s="16"/>
      <c r="E489" s="4"/>
      <c r="F489" s="16"/>
      <c r="G489" s="25"/>
      <c r="H489" s="25"/>
      <c r="I489" s="25"/>
      <c r="J489" s="25"/>
      <c r="K489" s="25"/>
      <c r="L489" s="15"/>
    </row>
    <row r="490" spans="2:12" ht="18.75" x14ac:dyDescent="0.3">
      <c r="B490" s="15"/>
      <c r="C490" s="16"/>
      <c r="D490" s="16"/>
      <c r="E490" s="4"/>
      <c r="F490" s="16"/>
      <c r="G490" s="25"/>
      <c r="H490" s="25"/>
      <c r="I490" s="25"/>
      <c r="J490" s="25"/>
      <c r="K490" s="25"/>
      <c r="L490" s="15"/>
    </row>
    <row r="491" spans="2:12" ht="18.75" x14ac:dyDescent="0.3">
      <c r="B491" s="15"/>
      <c r="C491" s="16"/>
      <c r="D491" s="16"/>
      <c r="E491" s="4"/>
      <c r="F491" s="16"/>
      <c r="G491" s="25"/>
      <c r="H491" s="25"/>
      <c r="I491" s="25"/>
      <c r="J491" s="25"/>
      <c r="K491" s="25"/>
      <c r="L491" s="15"/>
    </row>
    <row r="492" spans="2:12" ht="18.75" x14ac:dyDescent="0.3">
      <c r="B492" s="15"/>
      <c r="C492" s="16"/>
      <c r="D492" s="16"/>
      <c r="E492" s="4"/>
      <c r="F492" s="16"/>
      <c r="G492" s="25"/>
      <c r="H492" s="25"/>
      <c r="I492" s="25"/>
      <c r="J492" s="25"/>
      <c r="K492" s="25"/>
      <c r="L492" s="15"/>
    </row>
    <row r="493" spans="2:12" ht="18.75" x14ac:dyDescent="0.3">
      <c r="B493" s="15"/>
      <c r="C493" s="16"/>
      <c r="D493" s="16"/>
      <c r="E493" s="4"/>
      <c r="F493" s="16"/>
      <c r="G493" s="25"/>
      <c r="H493" s="25"/>
      <c r="I493" s="25"/>
      <c r="J493" s="25"/>
      <c r="K493" s="25"/>
      <c r="L493" s="15"/>
    </row>
    <row r="494" spans="2:12" ht="18.75" x14ac:dyDescent="0.3">
      <c r="B494" s="15"/>
      <c r="C494" s="16"/>
      <c r="D494" s="16"/>
      <c r="E494" s="4"/>
      <c r="F494" s="16"/>
      <c r="G494" s="25"/>
      <c r="H494" s="25"/>
      <c r="I494" s="25"/>
      <c r="J494" s="25"/>
      <c r="K494" s="25"/>
      <c r="L494" s="15"/>
    </row>
    <row r="495" spans="2:12" ht="18.75" x14ac:dyDescent="0.3">
      <c r="B495" s="15"/>
      <c r="C495" s="16"/>
      <c r="D495" s="16"/>
      <c r="E495" s="4"/>
      <c r="F495" s="16"/>
      <c r="G495" s="25"/>
      <c r="H495" s="25"/>
      <c r="I495" s="25"/>
      <c r="J495" s="25"/>
      <c r="K495" s="25"/>
      <c r="L495" s="15"/>
    </row>
    <row r="496" spans="2:12" ht="18.75" x14ac:dyDescent="0.3">
      <c r="B496" s="15"/>
      <c r="C496" s="16"/>
      <c r="D496" s="16"/>
      <c r="E496" s="4"/>
      <c r="F496" s="16"/>
      <c r="G496" s="25"/>
      <c r="H496" s="25"/>
      <c r="I496" s="25"/>
      <c r="J496" s="25"/>
      <c r="K496" s="25"/>
      <c r="L496" s="15"/>
    </row>
    <row r="497" spans="2:12" ht="18.75" x14ac:dyDescent="0.3">
      <c r="B497" s="15"/>
      <c r="C497" s="16"/>
      <c r="D497" s="16"/>
      <c r="E497" s="4"/>
      <c r="F497" s="16"/>
      <c r="G497" s="25"/>
      <c r="H497" s="25"/>
      <c r="I497" s="25"/>
      <c r="J497" s="25"/>
      <c r="K497" s="25"/>
      <c r="L497" s="15"/>
    </row>
    <row r="498" spans="2:12" ht="18.75" x14ac:dyDescent="0.3">
      <c r="B498" s="15"/>
      <c r="C498" s="16"/>
      <c r="D498" s="16"/>
      <c r="E498" s="4"/>
      <c r="F498" s="16"/>
      <c r="G498" s="25"/>
      <c r="H498" s="25"/>
      <c r="I498" s="25"/>
      <c r="J498" s="25"/>
      <c r="K498" s="25"/>
      <c r="L498" s="15"/>
    </row>
    <row r="499" spans="2:12" ht="18.75" x14ac:dyDescent="0.3">
      <c r="B499" s="15"/>
      <c r="C499" s="16"/>
      <c r="D499" s="16"/>
      <c r="E499" s="4"/>
      <c r="F499" s="16"/>
      <c r="G499" s="25"/>
      <c r="H499" s="25"/>
      <c r="I499" s="25"/>
      <c r="J499" s="25"/>
      <c r="K499" s="25"/>
      <c r="L499" s="15"/>
    </row>
    <row r="500" spans="2:12" ht="18.75" x14ac:dyDescent="0.3">
      <c r="B500" s="17"/>
      <c r="C500" s="18"/>
      <c r="D500" s="18"/>
      <c r="E500" s="18"/>
      <c r="F500" s="18"/>
      <c r="G500" s="4"/>
      <c r="H500" s="4"/>
      <c r="I500" s="4"/>
      <c r="J500" s="4"/>
      <c r="K500" s="4"/>
      <c r="L500" s="17"/>
    </row>
    <row r="501" spans="2:12" ht="18.75" x14ac:dyDescent="0.3">
      <c r="B501" s="25"/>
      <c r="C501" s="4"/>
      <c r="D501" s="4"/>
      <c r="E501" s="4"/>
      <c r="F501" s="4"/>
      <c r="G501" s="4"/>
      <c r="H501" s="4"/>
      <c r="I501" s="4"/>
      <c r="J501" s="4"/>
      <c r="K501" s="4"/>
      <c r="L501" s="25"/>
    </row>
    <row r="502" spans="2:12" ht="18.75" x14ac:dyDescent="0.25">
      <c r="B502" s="19"/>
      <c r="C502" s="20"/>
      <c r="D502" s="20"/>
      <c r="E502" s="20"/>
      <c r="F502" s="20"/>
      <c r="G502" s="20"/>
      <c r="H502" s="20"/>
      <c r="I502" s="20"/>
      <c r="J502" s="20"/>
      <c r="K502" s="20"/>
      <c r="L502" s="19"/>
    </row>
    <row r="503" spans="2:12" ht="18.75" x14ac:dyDescent="0.3">
      <c r="B503" s="15"/>
      <c r="C503" s="16"/>
      <c r="D503" s="21"/>
      <c r="E503" s="21"/>
      <c r="F503" s="16"/>
      <c r="G503" s="4"/>
      <c r="H503" s="4"/>
      <c r="I503" s="4"/>
      <c r="J503" s="4"/>
      <c r="K503" s="4"/>
      <c r="L503" s="15"/>
    </row>
    <row r="504" spans="2:12" ht="18.75" x14ac:dyDescent="0.3">
      <c r="B504" s="15"/>
      <c r="C504" s="16"/>
      <c r="D504" s="21"/>
      <c r="E504" s="21"/>
      <c r="F504" s="16"/>
      <c r="G504" s="4"/>
      <c r="H504" s="4"/>
      <c r="I504" s="4"/>
      <c r="J504" s="4"/>
      <c r="K504" s="4"/>
      <c r="L504" s="15"/>
    </row>
    <row r="505" spans="2:12" ht="18.75" x14ac:dyDescent="0.3">
      <c r="B505" s="15"/>
      <c r="C505" s="16"/>
      <c r="D505" s="21"/>
      <c r="E505" s="4"/>
      <c r="F505" s="16"/>
      <c r="G505" s="4"/>
      <c r="H505" s="4"/>
      <c r="I505" s="4"/>
      <c r="J505" s="4"/>
      <c r="K505" s="4"/>
      <c r="L505" s="15"/>
    </row>
    <row r="506" spans="2:12" ht="18.75" x14ac:dyDescent="0.3">
      <c r="B506" s="15"/>
      <c r="C506" s="16"/>
      <c r="D506" s="21"/>
      <c r="E506" s="21"/>
      <c r="F506" s="16"/>
      <c r="G506" s="4"/>
      <c r="H506" s="4"/>
      <c r="I506" s="4"/>
      <c r="J506" s="4"/>
      <c r="K506" s="4"/>
      <c r="L506" s="15"/>
    </row>
    <row r="507" spans="2:12" ht="18.75" x14ac:dyDescent="0.3">
      <c r="B507" s="15"/>
      <c r="C507" s="16"/>
      <c r="D507" s="21"/>
      <c r="E507" s="4"/>
      <c r="F507" s="16"/>
      <c r="G507" s="4"/>
      <c r="H507" s="4"/>
      <c r="I507" s="4"/>
      <c r="J507" s="4"/>
      <c r="K507" s="4"/>
      <c r="L507" s="15"/>
    </row>
    <row r="508" spans="2:12" ht="18.75" x14ac:dyDescent="0.3">
      <c r="B508" s="15"/>
      <c r="C508" s="16"/>
      <c r="D508" s="21"/>
      <c r="E508" s="4"/>
      <c r="F508" s="16"/>
      <c r="G508" s="4"/>
      <c r="H508" s="4"/>
      <c r="I508" s="4"/>
      <c r="J508" s="4"/>
      <c r="K508" s="4"/>
      <c r="L508" s="15"/>
    </row>
    <row r="509" spans="2:12" ht="18.75" x14ac:dyDescent="0.3">
      <c r="B509" s="15"/>
      <c r="C509" s="16"/>
      <c r="D509" s="21"/>
      <c r="E509" s="4"/>
      <c r="F509" s="16"/>
      <c r="G509" s="4"/>
      <c r="H509" s="4"/>
      <c r="I509" s="4"/>
      <c r="J509" s="4"/>
      <c r="K509" s="4"/>
      <c r="L509" s="15"/>
    </row>
    <row r="510" spans="2:12" ht="18.75" x14ac:dyDescent="0.3">
      <c r="B510" s="15"/>
      <c r="C510" s="16"/>
      <c r="D510" s="21"/>
      <c r="E510" s="4"/>
      <c r="F510" s="16"/>
      <c r="G510" s="4"/>
      <c r="H510" s="4"/>
      <c r="I510" s="4"/>
      <c r="J510" s="4"/>
      <c r="K510" s="4"/>
      <c r="L510" s="15"/>
    </row>
    <row r="511" spans="2:12" ht="18.75" x14ac:dyDescent="0.3">
      <c r="B511" s="15"/>
      <c r="C511" s="16"/>
      <c r="D511" s="21"/>
      <c r="E511" s="4"/>
      <c r="F511" s="16"/>
      <c r="G511" s="4"/>
      <c r="H511" s="4"/>
      <c r="I511" s="4"/>
      <c r="J511" s="4"/>
      <c r="K511" s="4"/>
      <c r="L511" s="15"/>
    </row>
    <row r="512" spans="2:12" ht="18.75" x14ac:dyDescent="0.3">
      <c r="B512" s="15"/>
      <c r="C512" s="16"/>
      <c r="D512" s="21"/>
      <c r="E512" s="4"/>
      <c r="F512" s="16"/>
      <c r="G512" s="4"/>
      <c r="H512" s="4"/>
      <c r="I512" s="4"/>
      <c r="J512" s="4"/>
      <c r="K512" s="4"/>
      <c r="L512" s="15"/>
    </row>
    <row r="513" spans="2:12" ht="18.75" x14ac:dyDescent="0.3">
      <c r="B513" s="15"/>
      <c r="C513" s="16"/>
      <c r="D513" s="21"/>
      <c r="E513" s="4"/>
      <c r="F513" s="16"/>
      <c r="G513" s="4"/>
      <c r="H513" s="4"/>
      <c r="I513" s="4"/>
      <c r="J513" s="4"/>
      <c r="K513" s="4"/>
      <c r="L513" s="15"/>
    </row>
    <row r="514" spans="2:12" ht="18.75" x14ac:dyDescent="0.3">
      <c r="B514" s="15"/>
      <c r="C514" s="16"/>
      <c r="D514" s="21"/>
      <c r="E514" s="4"/>
      <c r="F514" s="16"/>
      <c r="G514" s="4"/>
      <c r="H514" s="4"/>
      <c r="I514" s="4"/>
      <c r="J514" s="4"/>
      <c r="K514" s="4"/>
      <c r="L514" s="15"/>
    </row>
    <row r="515" spans="2:12" ht="18.75" x14ac:dyDescent="0.3">
      <c r="B515" s="17"/>
      <c r="C515" s="18"/>
      <c r="D515" s="18"/>
      <c r="E515" s="18"/>
      <c r="F515" s="18"/>
      <c r="G515" s="4"/>
      <c r="H515" s="4"/>
      <c r="I515" s="4"/>
      <c r="J515" s="4"/>
      <c r="K515" s="4"/>
      <c r="L515" s="17"/>
    </row>
    <row r="516" spans="2:12" ht="18.75" x14ac:dyDescent="0.3">
      <c r="B516" s="25"/>
      <c r="C516" s="4"/>
      <c r="D516" s="4"/>
      <c r="E516" s="4"/>
      <c r="F516" s="4"/>
      <c r="G516" s="4"/>
      <c r="H516" s="4"/>
      <c r="I516" s="4"/>
      <c r="J516" s="4"/>
      <c r="K516" s="4"/>
      <c r="L516" s="25"/>
    </row>
    <row r="517" spans="2:12" ht="18.75" x14ac:dyDescent="0.25">
      <c r="B517" s="19"/>
      <c r="C517" s="20"/>
      <c r="D517" s="20"/>
      <c r="E517" s="20"/>
      <c r="F517" s="20"/>
      <c r="G517" s="20"/>
      <c r="H517" s="20"/>
      <c r="I517" s="20"/>
      <c r="J517" s="20"/>
      <c r="K517" s="20"/>
      <c r="L517" s="19"/>
    </row>
    <row r="518" spans="2:12" ht="18.75" x14ac:dyDescent="0.3">
      <c r="B518" s="15"/>
      <c r="C518" s="16"/>
      <c r="D518" s="16"/>
      <c r="E518" s="16"/>
      <c r="F518" s="22"/>
      <c r="G518" s="4"/>
      <c r="H518" s="4"/>
      <c r="I518" s="4"/>
      <c r="J518" s="4"/>
      <c r="K518" s="4"/>
      <c r="L518" s="15"/>
    </row>
    <row r="519" spans="2:12" ht="18.75" x14ac:dyDescent="0.3">
      <c r="B519" s="15"/>
      <c r="C519" s="16"/>
      <c r="D519" s="16"/>
      <c r="E519" s="16"/>
      <c r="F519" s="22"/>
      <c r="G519" s="4"/>
      <c r="H519" s="4"/>
      <c r="I519" s="4"/>
      <c r="J519" s="4"/>
      <c r="K519" s="4"/>
      <c r="L519" s="15"/>
    </row>
    <row r="520" spans="2:12" ht="18.75" x14ac:dyDescent="0.3">
      <c r="B520" s="15"/>
      <c r="C520" s="16"/>
      <c r="D520" s="16"/>
      <c r="E520" s="16"/>
      <c r="F520" s="22"/>
      <c r="G520" s="4"/>
      <c r="H520" s="4"/>
      <c r="I520" s="4"/>
      <c r="J520" s="4"/>
      <c r="K520" s="4"/>
      <c r="L520" s="15"/>
    </row>
    <row r="521" spans="2:12" ht="18.75" x14ac:dyDescent="0.3">
      <c r="B521" s="15"/>
      <c r="C521" s="16"/>
      <c r="D521" s="16"/>
      <c r="E521" s="16"/>
      <c r="F521" s="22"/>
      <c r="G521" s="4"/>
      <c r="H521" s="4"/>
      <c r="I521" s="4"/>
      <c r="J521" s="4"/>
      <c r="K521" s="4"/>
      <c r="L521" s="15"/>
    </row>
    <row r="522" spans="2:12" ht="18.75" x14ac:dyDescent="0.3">
      <c r="B522" s="15"/>
      <c r="C522" s="16"/>
      <c r="D522" s="16"/>
      <c r="E522" s="16"/>
      <c r="F522" s="22"/>
      <c r="G522" s="4"/>
      <c r="H522" s="4"/>
      <c r="I522" s="4"/>
      <c r="J522" s="4"/>
      <c r="K522" s="4"/>
      <c r="L522" s="15"/>
    </row>
    <row r="523" spans="2:12" ht="18.75" x14ac:dyDescent="0.3">
      <c r="B523" s="15"/>
      <c r="C523" s="16"/>
      <c r="D523" s="16"/>
      <c r="E523" s="16"/>
      <c r="F523" s="22"/>
      <c r="G523" s="4"/>
      <c r="H523" s="4"/>
      <c r="I523" s="4"/>
      <c r="J523" s="4"/>
      <c r="K523" s="4"/>
      <c r="L523" s="15"/>
    </row>
    <row r="524" spans="2:12" ht="18.75" x14ac:dyDescent="0.3">
      <c r="B524" s="15"/>
      <c r="C524" s="16"/>
      <c r="D524" s="16"/>
      <c r="E524" s="16"/>
      <c r="F524" s="22"/>
      <c r="G524" s="4"/>
      <c r="H524" s="4"/>
      <c r="I524" s="4"/>
      <c r="J524" s="4"/>
      <c r="K524" s="4"/>
      <c r="L524" s="15"/>
    </row>
    <row r="525" spans="2:12" ht="18.75" x14ac:dyDescent="0.3">
      <c r="B525" s="15"/>
      <c r="C525" s="16"/>
      <c r="D525" s="16"/>
      <c r="E525" s="16"/>
      <c r="F525" s="22"/>
      <c r="G525" s="4"/>
      <c r="H525" s="4"/>
      <c r="I525" s="4"/>
      <c r="J525" s="4"/>
      <c r="K525" s="4"/>
      <c r="L525" s="15"/>
    </row>
    <row r="526" spans="2:12" ht="18.75" x14ac:dyDescent="0.3">
      <c r="B526" s="15"/>
      <c r="C526" s="16"/>
      <c r="D526" s="16"/>
      <c r="E526" s="16"/>
      <c r="F526" s="22"/>
      <c r="G526" s="4"/>
      <c r="H526" s="4"/>
      <c r="I526" s="4"/>
      <c r="J526" s="4"/>
      <c r="K526" s="4"/>
      <c r="L526" s="15"/>
    </row>
    <row r="527" spans="2:12" ht="18.75" x14ac:dyDescent="0.3">
      <c r="B527" s="15"/>
      <c r="C527" s="16"/>
      <c r="D527" s="16"/>
      <c r="E527" s="16"/>
      <c r="F527" s="22"/>
      <c r="G527" s="4"/>
      <c r="H527" s="4"/>
      <c r="I527" s="4"/>
      <c r="J527" s="4"/>
      <c r="K527" s="4"/>
      <c r="L527" s="15"/>
    </row>
    <row r="528" spans="2:12" ht="18.75" x14ac:dyDescent="0.3">
      <c r="B528" s="15"/>
      <c r="C528" s="16"/>
      <c r="D528" s="16"/>
      <c r="E528" s="16"/>
      <c r="F528" s="22"/>
      <c r="G528" s="4"/>
      <c r="H528" s="4"/>
      <c r="I528" s="4"/>
      <c r="J528" s="4"/>
      <c r="K528" s="4"/>
      <c r="L528" s="15"/>
    </row>
    <row r="529" spans="2:12" ht="18.75" x14ac:dyDescent="0.3">
      <c r="B529" s="15"/>
      <c r="C529" s="16"/>
      <c r="D529" s="16"/>
      <c r="E529" s="16"/>
      <c r="F529" s="22"/>
      <c r="G529" s="4"/>
      <c r="H529" s="4"/>
      <c r="I529" s="4"/>
      <c r="J529" s="4"/>
      <c r="K529" s="4"/>
      <c r="L529" s="15"/>
    </row>
    <row r="530" spans="2:12" ht="18.75" x14ac:dyDescent="0.3">
      <c r="B530" s="17"/>
      <c r="C530" s="18"/>
      <c r="D530" s="18"/>
      <c r="E530" s="18"/>
      <c r="F530" s="18"/>
      <c r="G530" s="4"/>
      <c r="H530" s="4"/>
      <c r="I530" s="4"/>
      <c r="J530" s="4"/>
      <c r="K530" s="4"/>
      <c r="L530" s="17"/>
    </row>
    <row r="531" spans="2:12" ht="18.75" x14ac:dyDescent="0.3">
      <c r="B531" s="25"/>
      <c r="C531" s="4"/>
      <c r="D531" s="4"/>
      <c r="E531" s="4"/>
      <c r="F531" s="4"/>
      <c r="G531" s="4"/>
      <c r="H531" s="4"/>
      <c r="I531" s="4"/>
      <c r="J531" s="4"/>
      <c r="K531" s="4"/>
      <c r="L531" s="25"/>
    </row>
    <row r="532" spans="2:12" ht="18.75" x14ac:dyDescent="0.3">
      <c r="B532" s="33"/>
      <c r="C532" s="4"/>
      <c r="D532" s="4"/>
      <c r="E532" s="4"/>
      <c r="F532" s="4"/>
      <c r="G532" s="4"/>
      <c r="H532" s="4"/>
      <c r="I532" s="4"/>
      <c r="J532" s="4"/>
      <c r="K532" s="4"/>
      <c r="L532" s="33"/>
    </row>
    <row r="533" spans="2:12" ht="18.75" x14ac:dyDescent="0.3">
      <c r="B533" s="25"/>
      <c r="C533" s="4"/>
      <c r="D533" s="4"/>
      <c r="E533" s="4"/>
      <c r="F533" s="4"/>
      <c r="G533" s="4"/>
      <c r="H533" s="4"/>
      <c r="I533" s="4"/>
      <c r="J533" s="4"/>
      <c r="K533" s="4"/>
      <c r="L533" s="25"/>
    </row>
    <row r="534" spans="2:12" ht="18.75" x14ac:dyDescent="0.25">
      <c r="B534" s="19"/>
      <c r="C534" s="20"/>
      <c r="D534" s="20"/>
      <c r="E534" s="20"/>
      <c r="F534" s="20"/>
      <c r="G534" s="20"/>
      <c r="H534" s="20"/>
      <c r="I534" s="20"/>
      <c r="J534" s="20"/>
      <c r="K534" s="20"/>
      <c r="L534" s="19"/>
    </row>
    <row r="535" spans="2:12" ht="18.75" x14ac:dyDescent="0.3">
      <c r="B535" s="15"/>
      <c r="C535" s="22"/>
      <c r="D535" s="16"/>
      <c r="E535" s="16"/>
      <c r="F535" s="22"/>
      <c r="G535" s="4"/>
      <c r="H535" s="4"/>
      <c r="I535" s="4"/>
      <c r="J535" s="4"/>
      <c r="K535" s="4"/>
      <c r="L535" s="15"/>
    </row>
    <row r="536" spans="2:12" ht="18.75" x14ac:dyDescent="0.3">
      <c r="B536" s="15"/>
      <c r="C536" s="22"/>
      <c r="D536" s="16"/>
      <c r="E536" s="16"/>
      <c r="F536" s="22"/>
      <c r="G536" s="4"/>
      <c r="H536" s="4"/>
      <c r="I536" s="4"/>
      <c r="J536" s="4"/>
      <c r="K536" s="4"/>
      <c r="L536" s="15"/>
    </row>
    <row r="537" spans="2:12" ht="18.75" x14ac:dyDescent="0.3">
      <c r="B537" s="15"/>
      <c r="C537" s="22"/>
      <c r="D537" s="16"/>
      <c r="E537" s="16"/>
      <c r="F537" s="22"/>
      <c r="G537" s="4"/>
      <c r="H537" s="4"/>
      <c r="I537" s="4"/>
      <c r="J537" s="4"/>
      <c r="K537" s="4"/>
      <c r="L537" s="15"/>
    </row>
    <row r="538" spans="2:12" ht="18.75" x14ac:dyDescent="0.3">
      <c r="B538" s="15"/>
      <c r="C538" s="22"/>
      <c r="D538" s="16"/>
      <c r="E538" s="16"/>
      <c r="F538" s="22"/>
      <c r="G538" s="4"/>
      <c r="H538" s="4"/>
      <c r="I538" s="4"/>
      <c r="J538" s="4"/>
      <c r="K538" s="4"/>
      <c r="L538" s="15"/>
    </row>
    <row r="539" spans="2:12" ht="18.75" x14ac:dyDescent="0.3">
      <c r="B539" s="15"/>
      <c r="C539" s="22"/>
      <c r="D539" s="16"/>
      <c r="E539" s="16"/>
      <c r="F539" s="22"/>
      <c r="G539" s="4"/>
      <c r="H539" s="4"/>
      <c r="I539" s="4"/>
      <c r="J539" s="4"/>
      <c r="K539" s="4"/>
      <c r="L539" s="15"/>
    </row>
    <row r="540" spans="2:12" ht="18.75" x14ac:dyDescent="0.3">
      <c r="B540" s="15"/>
      <c r="C540" s="22"/>
      <c r="D540" s="16"/>
      <c r="E540" s="16"/>
      <c r="F540" s="22"/>
      <c r="G540" s="4"/>
      <c r="H540" s="4"/>
      <c r="I540" s="4"/>
      <c r="J540" s="4"/>
      <c r="K540" s="4"/>
      <c r="L540" s="15"/>
    </row>
    <row r="541" spans="2:12" ht="18.75" x14ac:dyDescent="0.3">
      <c r="B541" s="15"/>
      <c r="C541" s="22"/>
      <c r="D541" s="16"/>
      <c r="E541" s="16"/>
      <c r="F541" s="22"/>
      <c r="G541" s="4"/>
      <c r="H541" s="4"/>
      <c r="I541" s="4"/>
      <c r="J541" s="4"/>
      <c r="K541" s="4"/>
      <c r="L541" s="15"/>
    </row>
    <row r="542" spans="2:12" ht="18.75" x14ac:dyDescent="0.3">
      <c r="B542" s="15"/>
      <c r="C542" s="22"/>
      <c r="D542" s="16"/>
      <c r="E542" s="16"/>
      <c r="F542" s="22"/>
      <c r="G542" s="4"/>
      <c r="H542" s="4"/>
      <c r="I542" s="4"/>
      <c r="J542" s="4"/>
      <c r="K542" s="4"/>
      <c r="L542" s="15"/>
    </row>
    <row r="543" spans="2:12" ht="18.75" x14ac:dyDescent="0.3">
      <c r="B543" s="15"/>
      <c r="C543" s="22"/>
      <c r="D543" s="16"/>
      <c r="E543" s="16"/>
      <c r="F543" s="22"/>
      <c r="G543" s="4"/>
      <c r="H543" s="4"/>
      <c r="I543" s="4"/>
      <c r="J543" s="4"/>
      <c r="K543" s="4"/>
      <c r="L543" s="15"/>
    </row>
    <row r="544" spans="2:12" ht="18.75" x14ac:dyDescent="0.3">
      <c r="B544" s="15"/>
      <c r="C544" s="22"/>
      <c r="D544" s="16"/>
      <c r="E544" s="16"/>
      <c r="F544" s="22"/>
      <c r="G544" s="4"/>
      <c r="H544" s="4"/>
      <c r="I544" s="4"/>
      <c r="J544" s="4"/>
      <c r="K544" s="4"/>
      <c r="L544" s="15"/>
    </row>
    <row r="545" spans="2:12" ht="18.75" x14ac:dyDescent="0.3">
      <c r="B545" s="15"/>
      <c r="C545" s="22"/>
      <c r="D545" s="16"/>
      <c r="E545" s="16"/>
      <c r="F545" s="22"/>
      <c r="G545" s="4"/>
      <c r="H545" s="4"/>
      <c r="I545" s="4"/>
      <c r="J545" s="4"/>
      <c r="K545" s="4"/>
      <c r="L545" s="15"/>
    </row>
    <row r="546" spans="2:12" ht="18.75" x14ac:dyDescent="0.3">
      <c r="B546" s="15"/>
      <c r="C546" s="22"/>
      <c r="D546" s="16"/>
      <c r="E546" s="16"/>
      <c r="F546" s="22"/>
      <c r="G546" s="4"/>
      <c r="H546" s="4"/>
      <c r="I546" s="4"/>
      <c r="J546" s="4"/>
      <c r="K546" s="4"/>
      <c r="L546" s="15"/>
    </row>
    <row r="547" spans="2:12" ht="18.75" x14ac:dyDescent="0.3">
      <c r="B547" s="17"/>
      <c r="C547" s="18"/>
      <c r="D547" s="18"/>
      <c r="E547" s="18"/>
      <c r="F547" s="18"/>
      <c r="G547" s="4"/>
      <c r="H547" s="4"/>
      <c r="I547" s="4"/>
      <c r="J547" s="4"/>
      <c r="K547" s="4"/>
      <c r="L547" s="17"/>
    </row>
    <row r="548" spans="2:12" ht="18.75" x14ac:dyDescent="0.3">
      <c r="B548" s="25"/>
      <c r="C548" s="4"/>
      <c r="D548" s="4"/>
      <c r="E548" s="4"/>
      <c r="F548" s="4"/>
      <c r="G548" s="4"/>
      <c r="H548" s="4"/>
      <c r="I548" s="4"/>
      <c r="J548" s="4"/>
      <c r="K548" s="4"/>
      <c r="L548" s="25"/>
    </row>
    <row r="549" spans="2:12" ht="18.75" x14ac:dyDescent="0.25">
      <c r="B549" s="19"/>
      <c r="C549" s="20"/>
      <c r="D549" s="20"/>
      <c r="E549" s="20"/>
      <c r="F549" s="20"/>
      <c r="G549" s="20"/>
      <c r="H549" s="20"/>
      <c r="I549" s="20"/>
      <c r="J549" s="20"/>
      <c r="K549" s="20"/>
      <c r="L549" s="19"/>
    </row>
    <row r="550" spans="2:12" ht="18.75" x14ac:dyDescent="0.3">
      <c r="B550" s="66"/>
      <c r="C550" s="31"/>
      <c r="D550" s="31"/>
      <c r="E550" s="31"/>
      <c r="F550" s="67"/>
      <c r="G550" s="32"/>
      <c r="H550" s="32"/>
      <c r="I550" s="32"/>
      <c r="J550" s="32"/>
      <c r="K550" s="32"/>
      <c r="L550" s="66"/>
    </row>
    <row r="551" spans="2:12" ht="18.75" x14ac:dyDescent="0.3">
      <c r="B551" s="66"/>
      <c r="C551" s="31"/>
      <c r="D551" s="31"/>
      <c r="E551" s="31"/>
      <c r="F551" s="67"/>
      <c r="G551" s="32"/>
      <c r="H551" s="32"/>
      <c r="I551" s="32"/>
      <c r="J551" s="32"/>
      <c r="K551" s="32"/>
      <c r="L551" s="66"/>
    </row>
    <row r="552" spans="2:12" ht="18.75" x14ac:dyDescent="0.3">
      <c r="B552" s="66"/>
      <c r="C552" s="31"/>
      <c r="D552" s="31"/>
      <c r="E552" s="31"/>
      <c r="F552" s="67"/>
      <c r="G552" s="32"/>
      <c r="H552" s="32"/>
      <c r="I552" s="32"/>
      <c r="J552" s="32"/>
      <c r="K552" s="32"/>
      <c r="L552" s="66"/>
    </row>
    <row r="553" spans="2:12" ht="18.75" x14ac:dyDescent="0.3">
      <c r="B553" s="66"/>
      <c r="C553" s="31"/>
      <c r="D553" s="31"/>
      <c r="E553" s="31"/>
      <c r="F553" s="67"/>
      <c r="G553" s="32"/>
      <c r="H553" s="32"/>
      <c r="I553" s="32"/>
      <c r="J553" s="32"/>
      <c r="K553" s="32"/>
      <c r="L553" s="66"/>
    </row>
    <row r="554" spans="2:12" ht="18.75" x14ac:dyDescent="0.3">
      <c r="B554" s="66"/>
      <c r="C554" s="31"/>
      <c r="D554" s="31"/>
      <c r="E554" s="31"/>
      <c r="F554" s="67"/>
      <c r="G554" s="32"/>
      <c r="H554" s="32"/>
      <c r="I554" s="32"/>
      <c r="J554" s="32"/>
      <c r="K554" s="32"/>
      <c r="L554" s="66"/>
    </row>
    <row r="555" spans="2:12" ht="18.75" x14ac:dyDescent="0.3">
      <c r="B555" s="66"/>
      <c r="C555" s="31"/>
      <c r="D555" s="31"/>
      <c r="E555" s="31"/>
      <c r="F555" s="67"/>
      <c r="G555" s="32"/>
      <c r="H555" s="32"/>
      <c r="I555" s="32"/>
      <c r="J555" s="32"/>
      <c r="K555" s="32"/>
      <c r="L555" s="66"/>
    </row>
    <row r="556" spans="2:12" ht="18.75" x14ac:dyDescent="0.3">
      <c r="B556" s="66"/>
      <c r="C556" s="31"/>
      <c r="D556" s="31"/>
      <c r="E556" s="31"/>
      <c r="F556" s="67"/>
      <c r="G556" s="32"/>
      <c r="H556" s="32"/>
      <c r="I556" s="32"/>
      <c r="J556" s="32"/>
      <c r="K556" s="32"/>
      <c r="L556" s="66"/>
    </row>
    <row r="557" spans="2:12" ht="18.75" x14ac:dyDescent="0.3">
      <c r="B557" s="66"/>
      <c r="C557" s="31"/>
      <c r="D557" s="31"/>
      <c r="E557" s="31"/>
      <c r="F557" s="67"/>
      <c r="G557" s="32"/>
      <c r="H557" s="32"/>
      <c r="I557" s="32"/>
      <c r="J557" s="32"/>
      <c r="K557" s="32"/>
      <c r="L557" s="66"/>
    </row>
    <row r="558" spans="2:12" ht="18.75" x14ac:dyDescent="0.3">
      <c r="B558" s="66"/>
      <c r="C558" s="31"/>
      <c r="D558" s="31"/>
      <c r="E558" s="31"/>
      <c r="F558" s="67"/>
      <c r="G558" s="32"/>
      <c r="H558" s="32"/>
      <c r="I558" s="32"/>
      <c r="J558" s="32"/>
      <c r="K558" s="32"/>
      <c r="L558" s="66"/>
    </row>
    <row r="559" spans="2:12" ht="18.75" x14ac:dyDescent="0.3">
      <c r="B559" s="66"/>
      <c r="C559" s="31"/>
      <c r="D559" s="31"/>
      <c r="E559" s="31"/>
      <c r="F559" s="67"/>
      <c r="G559" s="32"/>
      <c r="H559" s="32"/>
      <c r="I559" s="32"/>
      <c r="J559" s="32"/>
      <c r="K559" s="32"/>
      <c r="L559" s="66"/>
    </row>
    <row r="560" spans="2:12" ht="18.75" x14ac:dyDescent="0.3">
      <c r="B560" s="66"/>
      <c r="C560" s="31"/>
      <c r="D560" s="31"/>
      <c r="E560" s="31"/>
      <c r="F560" s="67"/>
      <c r="G560" s="32"/>
      <c r="H560" s="32"/>
      <c r="I560" s="32"/>
      <c r="J560" s="32"/>
      <c r="K560" s="32"/>
      <c r="L560" s="66"/>
    </row>
    <row r="561" spans="2:12" ht="18.75" x14ac:dyDescent="0.3">
      <c r="B561" s="66"/>
      <c r="C561" s="31"/>
      <c r="D561" s="31"/>
      <c r="E561" s="31"/>
      <c r="F561" s="67"/>
      <c r="G561" s="32"/>
      <c r="H561" s="32"/>
      <c r="I561" s="32"/>
      <c r="J561" s="32"/>
      <c r="K561" s="32"/>
      <c r="L561" s="66"/>
    </row>
    <row r="562" spans="2:12" ht="18.75" x14ac:dyDescent="0.3">
      <c r="B562" s="17"/>
      <c r="C562" s="18"/>
      <c r="D562" s="18"/>
      <c r="E562" s="18"/>
      <c r="F562" s="18"/>
      <c r="G562" s="4"/>
      <c r="H562" s="4"/>
      <c r="I562" s="4"/>
      <c r="J562" s="4"/>
      <c r="K562" s="4"/>
      <c r="L562" s="17"/>
    </row>
    <row r="563" spans="2:12" ht="18.75" x14ac:dyDescent="0.3">
      <c r="B563" s="25"/>
      <c r="C563" s="4"/>
      <c r="D563" s="4"/>
      <c r="E563" s="4"/>
      <c r="F563" s="4"/>
      <c r="G563" s="4"/>
      <c r="H563" s="4"/>
      <c r="I563" s="4"/>
      <c r="J563" s="4"/>
      <c r="K563" s="4"/>
      <c r="L563" s="25"/>
    </row>
    <row r="564" spans="2:12" ht="18.75" x14ac:dyDescent="0.25">
      <c r="B564" s="19"/>
      <c r="C564" s="20"/>
      <c r="D564" s="20"/>
      <c r="E564" s="20"/>
      <c r="F564" s="20"/>
      <c r="G564" s="20"/>
      <c r="H564" s="20"/>
      <c r="I564" s="20"/>
      <c r="J564" s="20"/>
      <c r="K564" s="20"/>
      <c r="L564" s="19"/>
    </row>
    <row r="565" spans="2:12" ht="18.75" x14ac:dyDescent="0.3">
      <c r="B565" s="15"/>
      <c r="C565" s="16"/>
      <c r="D565" s="16"/>
      <c r="E565" s="4"/>
      <c r="F565" s="16"/>
      <c r="G565" s="4"/>
      <c r="H565" s="4"/>
      <c r="I565" s="4"/>
      <c r="J565" s="4"/>
      <c r="K565" s="4"/>
      <c r="L565" s="15"/>
    </row>
    <row r="566" spans="2:12" ht="18.75" x14ac:dyDescent="0.3">
      <c r="B566" s="15"/>
      <c r="C566" s="16"/>
      <c r="D566" s="16"/>
      <c r="E566" s="4"/>
      <c r="F566" s="16"/>
      <c r="G566" s="4"/>
      <c r="H566" s="4"/>
      <c r="I566" s="4"/>
      <c r="J566" s="4"/>
      <c r="K566" s="4"/>
      <c r="L566" s="15"/>
    </row>
    <row r="567" spans="2:12" ht="18.75" x14ac:dyDescent="0.3">
      <c r="B567" s="15"/>
      <c r="C567" s="16"/>
      <c r="D567" s="16"/>
      <c r="E567" s="4"/>
      <c r="F567" s="16"/>
      <c r="G567" s="4"/>
      <c r="H567" s="4"/>
      <c r="I567" s="4"/>
      <c r="J567" s="4"/>
      <c r="K567" s="4"/>
      <c r="L567" s="15"/>
    </row>
    <row r="568" spans="2:12" ht="18.75" x14ac:dyDescent="0.3">
      <c r="B568" s="15"/>
      <c r="C568" s="16"/>
      <c r="D568" s="16"/>
      <c r="E568" s="4"/>
      <c r="F568" s="16"/>
      <c r="G568" s="4"/>
      <c r="H568" s="4"/>
      <c r="I568" s="4"/>
      <c r="J568" s="4"/>
      <c r="K568" s="4"/>
      <c r="L568" s="15"/>
    </row>
    <row r="569" spans="2:12" ht="18.75" x14ac:dyDescent="0.3">
      <c r="B569" s="15"/>
      <c r="C569" s="16"/>
      <c r="D569" s="16"/>
      <c r="E569" s="4"/>
      <c r="F569" s="16"/>
      <c r="G569" s="4"/>
      <c r="H569" s="4"/>
      <c r="I569" s="4"/>
      <c r="J569" s="4"/>
      <c r="K569" s="4"/>
      <c r="L569" s="15"/>
    </row>
    <row r="570" spans="2:12" ht="18.75" x14ac:dyDescent="0.3">
      <c r="B570" s="15"/>
      <c r="C570" s="16"/>
      <c r="D570" s="16"/>
      <c r="E570" s="4"/>
      <c r="F570" s="16"/>
      <c r="G570" s="4"/>
      <c r="H570" s="4"/>
      <c r="I570" s="4"/>
      <c r="J570" s="4"/>
      <c r="K570" s="4"/>
      <c r="L570" s="15"/>
    </row>
    <row r="571" spans="2:12" ht="18.75" x14ac:dyDescent="0.3">
      <c r="B571" s="15"/>
      <c r="C571" s="16"/>
      <c r="D571" s="16"/>
      <c r="E571" s="4"/>
      <c r="F571" s="16"/>
      <c r="G571" s="4"/>
      <c r="H571" s="4"/>
      <c r="I571" s="4"/>
      <c r="J571" s="4"/>
      <c r="K571" s="4"/>
      <c r="L571" s="15"/>
    </row>
    <row r="572" spans="2:12" ht="18.75" x14ac:dyDescent="0.3">
      <c r="B572" s="15"/>
      <c r="C572" s="16"/>
      <c r="D572" s="16"/>
      <c r="E572" s="4"/>
      <c r="F572" s="16"/>
      <c r="G572" s="4"/>
      <c r="H572" s="4"/>
      <c r="I572" s="4"/>
      <c r="J572" s="4"/>
      <c r="K572" s="4"/>
      <c r="L572" s="15"/>
    </row>
    <row r="573" spans="2:12" ht="18.75" x14ac:dyDescent="0.3">
      <c r="B573" s="15"/>
      <c r="C573" s="16"/>
      <c r="D573" s="16"/>
      <c r="E573" s="4"/>
      <c r="F573" s="16"/>
      <c r="G573" s="4"/>
      <c r="H573" s="4"/>
      <c r="I573" s="4"/>
      <c r="J573" s="4"/>
      <c r="K573" s="4"/>
      <c r="L573" s="15"/>
    </row>
    <row r="574" spans="2:12" ht="18.75" x14ac:dyDescent="0.3">
      <c r="B574" s="15"/>
      <c r="C574" s="16"/>
      <c r="D574" s="16"/>
      <c r="E574" s="4"/>
      <c r="F574" s="16"/>
      <c r="G574" s="4"/>
      <c r="H574" s="4"/>
      <c r="I574" s="4"/>
      <c r="J574" s="4"/>
      <c r="K574" s="4"/>
      <c r="L574" s="15"/>
    </row>
    <row r="575" spans="2:12" ht="18.75" x14ac:dyDescent="0.3">
      <c r="B575" s="15"/>
      <c r="C575" s="16"/>
      <c r="D575" s="16"/>
      <c r="E575" s="4"/>
      <c r="F575" s="16"/>
      <c r="G575" s="4"/>
      <c r="H575" s="4"/>
      <c r="I575" s="4"/>
      <c r="J575" s="4"/>
      <c r="K575" s="4"/>
      <c r="L575" s="15"/>
    </row>
    <row r="576" spans="2:12" ht="18.75" x14ac:dyDescent="0.3">
      <c r="B576" s="15"/>
      <c r="C576" s="16"/>
      <c r="D576" s="16"/>
      <c r="E576" s="4"/>
      <c r="F576" s="16"/>
      <c r="G576" s="4"/>
      <c r="H576" s="4"/>
      <c r="I576" s="4"/>
      <c r="J576" s="4"/>
      <c r="K576" s="4"/>
      <c r="L576" s="15"/>
    </row>
    <row r="577" spans="2:12" ht="18.75" x14ac:dyDescent="0.3">
      <c r="B577" s="17"/>
      <c r="C577" s="18"/>
      <c r="D577" s="18"/>
      <c r="E577" s="18"/>
      <c r="F577" s="18"/>
      <c r="G577" s="4"/>
      <c r="H577" s="4"/>
      <c r="I577" s="4"/>
      <c r="J577" s="4"/>
      <c r="K577" s="4"/>
      <c r="L577" s="17"/>
    </row>
    <row r="578" spans="2:12" ht="18.75" x14ac:dyDescent="0.3">
      <c r="B578" s="25"/>
      <c r="C578" s="4"/>
      <c r="D578" s="4"/>
      <c r="E578" s="4"/>
      <c r="F578" s="4"/>
      <c r="G578" s="4"/>
      <c r="H578" s="4"/>
      <c r="I578" s="4"/>
      <c r="J578" s="4"/>
      <c r="K578" s="4"/>
      <c r="L578" s="25"/>
    </row>
    <row r="579" spans="2:12" ht="18.75" x14ac:dyDescent="0.25">
      <c r="B579" s="19"/>
      <c r="C579" s="20"/>
      <c r="D579" s="20"/>
      <c r="E579" s="20"/>
      <c r="F579" s="20"/>
      <c r="G579" s="20"/>
      <c r="H579" s="20"/>
      <c r="I579" s="20"/>
      <c r="J579" s="20"/>
      <c r="K579" s="20"/>
      <c r="L579" s="19"/>
    </row>
    <row r="580" spans="2:12" ht="18.75" x14ac:dyDescent="0.3">
      <c r="B580" s="15"/>
      <c r="C580" s="16"/>
      <c r="D580" s="16"/>
      <c r="E580" s="16"/>
      <c r="F580" s="16"/>
      <c r="G580" s="4"/>
      <c r="H580" s="4"/>
      <c r="I580" s="4"/>
      <c r="J580" s="4"/>
      <c r="K580" s="4"/>
      <c r="L580" s="15"/>
    </row>
    <row r="581" spans="2:12" ht="18.75" x14ac:dyDescent="0.3">
      <c r="B581" s="15"/>
      <c r="C581" s="16"/>
      <c r="D581" s="16"/>
      <c r="E581" s="16"/>
      <c r="F581" s="16"/>
      <c r="G581" s="4"/>
      <c r="H581" s="4"/>
      <c r="I581" s="4"/>
      <c r="J581" s="4"/>
      <c r="K581" s="4"/>
      <c r="L581" s="15"/>
    </row>
    <row r="582" spans="2:12" ht="18.75" x14ac:dyDescent="0.3">
      <c r="B582" s="15"/>
      <c r="C582" s="16"/>
      <c r="D582" s="16"/>
      <c r="E582" s="16"/>
      <c r="F582" s="16"/>
      <c r="G582" s="4"/>
      <c r="H582" s="4"/>
      <c r="I582" s="4"/>
      <c r="J582" s="4"/>
      <c r="K582" s="4"/>
      <c r="L582" s="15"/>
    </row>
    <row r="583" spans="2:12" ht="18.75" x14ac:dyDescent="0.3">
      <c r="B583" s="15"/>
      <c r="C583" s="16"/>
      <c r="D583" s="16"/>
      <c r="E583" s="16"/>
      <c r="F583" s="16"/>
      <c r="G583" s="4"/>
      <c r="H583" s="4"/>
      <c r="I583" s="4"/>
      <c r="J583" s="4"/>
      <c r="K583" s="4"/>
      <c r="L583" s="15"/>
    </row>
    <row r="584" spans="2:12" ht="18.75" x14ac:dyDescent="0.3">
      <c r="B584" s="15"/>
      <c r="C584" s="16"/>
      <c r="D584" s="16"/>
      <c r="E584" s="16"/>
      <c r="F584" s="16"/>
      <c r="G584" s="4"/>
      <c r="H584" s="4"/>
      <c r="I584" s="4"/>
      <c r="J584" s="4"/>
      <c r="K584" s="4"/>
      <c r="L584" s="15"/>
    </row>
    <row r="585" spans="2:12" ht="18.75" x14ac:dyDescent="0.3">
      <c r="B585" s="15"/>
      <c r="C585" s="16"/>
      <c r="D585" s="16"/>
      <c r="E585" s="16"/>
      <c r="F585" s="16"/>
      <c r="G585" s="4"/>
      <c r="H585" s="4"/>
      <c r="I585" s="4"/>
      <c r="J585" s="4"/>
      <c r="K585" s="4"/>
      <c r="L585" s="15"/>
    </row>
    <row r="586" spans="2:12" ht="18.75" x14ac:dyDescent="0.3">
      <c r="B586" s="15"/>
      <c r="C586" s="16"/>
      <c r="D586" s="16"/>
      <c r="E586" s="16"/>
      <c r="F586" s="16"/>
      <c r="G586" s="4"/>
      <c r="H586" s="4"/>
      <c r="I586" s="4"/>
      <c r="J586" s="4"/>
      <c r="K586" s="4"/>
      <c r="L586" s="15"/>
    </row>
    <row r="587" spans="2:12" ht="18.75" x14ac:dyDescent="0.3">
      <c r="B587" s="15"/>
      <c r="C587" s="16"/>
      <c r="D587" s="16"/>
      <c r="E587" s="16"/>
      <c r="F587" s="16"/>
      <c r="G587" s="4"/>
      <c r="H587" s="4"/>
      <c r="I587" s="4"/>
      <c r="J587" s="4"/>
      <c r="K587" s="4"/>
      <c r="L587" s="15"/>
    </row>
    <row r="588" spans="2:12" ht="18.75" x14ac:dyDescent="0.3">
      <c r="B588" s="15"/>
      <c r="C588" s="16"/>
      <c r="D588" s="16"/>
      <c r="E588" s="16"/>
      <c r="F588" s="16"/>
      <c r="G588" s="4"/>
      <c r="H588" s="4"/>
      <c r="I588" s="4"/>
      <c r="J588" s="4"/>
      <c r="K588" s="4"/>
      <c r="L588" s="15"/>
    </row>
    <row r="589" spans="2:12" ht="18.75" x14ac:dyDescent="0.3">
      <c r="B589" s="15"/>
      <c r="C589" s="16"/>
      <c r="D589" s="16"/>
      <c r="E589" s="16"/>
      <c r="F589" s="16"/>
      <c r="G589" s="4"/>
      <c r="H589" s="4"/>
      <c r="I589" s="4"/>
      <c r="J589" s="4"/>
      <c r="K589" s="4"/>
      <c r="L589" s="15"/>
    </row>
    <row r="590" spans="2:12" ht="18.75" x14ac:dyDescent="0.3">
      <c r="B590" s="15"/>
      <c r="C590" s="16"/>
      <c r="D590" s="16"/>
      <c r="E590" s="16"/>
      <c r="F590" s="16"/>
      <c r="G590" s="4"/>
      <c r="H590" s="4"/>
      <c r="I590" s="4"/>
      <c r="J590" s="4"/>
      <c r="K590" s="4"/>
      <c r="L590" s="15"/>
    </row>
    <row r="591" spans="2:12" ht="18.75" x14ac:dyDescent="0.3">
      <c r="B591" s="15"/>
      <c r="C591" s="16"/>
      <c r="D591" s="16"/>
      <c r="E591" s="16"/>
      <c r="F591" s="16"/>
      <c r="G591" s="4"/>
      <c r="H591" s="4"/>
      <c r="I591" s="4"/>
      <c r="J591" s="4"/>
      <c r="K591" s="4"/>
      <c r="L591" s="15"/>
    </row>
    <row r="592" spans="2:12" ht="18.75" x14ac:dyDescent="0.3">
      <c r="B592" s="17"/>
      <c r="C592" s="18"/>
      <c r="D592" s="18"/>
      <c r="E592" s="18"/>
      <c r="F592" s="18"/>
      <c r="G592" s="4"/>
      <c r="H592" s="4"/>
      <c r="I592" s="4"/>
      <c r="J592" s="4"/>
      <c r="K592" s="4"/>
      <c r="L592" s="17"/>
    </row>
    <row r="593" spans="2:12" ht="18.75" x14ac:dyDescent="0.3">
      <c r="B593" s="25"/>
      <c r="C593" s="4"/>
      <c r="D593" s="4"/>
      <c r="E593" s="4"/>
      <c r="F593" s="4"/>
      <c r="G593" s="4"/>
      <c r="H593" s="4"/>
      <c r="I593" s="4"/>
      <c r="J593" s="4"/>
      <c r="K593" s="4"/>
      <c r="L593" s="25"/>
    </row>
    <row r="594" spans="2:12" ht="18.75" x14ac:dyDescent="0.3">
      <c r="B594" s="17"/>
      <c r="C594" s="18"/>
      <c r="D594" s="18"/>
      <c r="E594" s="18"/>
      <c r="F594" s="18"/>
      <c r="G594" s="4"/>
      <c r="H594" s="4"/>
      <c r="I594" s="4"/>
      <c r="J594" s="4"/>
      <c r="K594" s="4"/>
      <c r="L594" s="17"/>
    </row>
    <row r="595" spans="2:12" ht="18.75" x14ac:dyDescent="0.3">
      <c r="B595" s="25"/>
      <c r="C595" s="4"/>
      <c r="D595" s="4"/>
      <c r="E595" s="4"/>
      <c r="F595" s="4"/>
      <c r="G595" s="4"/>
      <c r="H595" s="4"/>
      <c r="I595" s="4"/>
      <c r="J595" s="4"/>
      <c r="K595" s="4"/>
      <c r="L595" s="25"/>
    </row>
    <row r="596" spans="2:12" ht="18.75" x14ac:dyDescent="0.3">
      <c r="B596" s="25"/>
      <c r="C596" s="4"/>
      <c r="D596" s="4"/>
      <c r="E596" s="4"/>
      <c r="F596" s="4"/>
      <c r="G596" s="4"/>
      <c r="H596" s="4"/>
      <c r="I596" s="4"/>
      <c r="J596" s="4"/>
      <c r="K596" s="4"/>
      <c r="L596" s="25"/>
    </row>
    <row r="597" spans="2:12" ht="18.75" x14ac:dyDescent="0.3">
      <c r="B597" s="25"/>
      <c r="C597" s="4"/>
      <c r="D597" s="4"/>
      <c r="E597" s="4"/>
      <c r="F597" s="4"/>
      <c r="G597" s="4"/>
      <c r="H597" s="4"/>
      <c r="I597" s="4"/>
      <c r="J597" s="4"/>
      <c r="K597" s="4"/>
      <c r="L597" s="25"/>
    </row>
    <row r="598" spans="2:12" ht="18.75" x14ac:dyDescent="0.3">
      <c r="B598" s="25"/>
      <c r="C598" s="4"/>
      <c r="D598" s="4"/>
      <c r="E598" s="4"/>
      <c r="F598" s="4"/>
      <c r="G598" s="4"/>
      <c r="H598" s="4"/>
      <c r="I598" s="4"/>
      <c r="J598" s="4"/>
      <c r="K598" s="4"/>
      <c r="L598" s="25"/>
    </row>
    <row r="599" spans="2:12" ht="18.75" x14ac:dyDescent="0.3">
      <c r="B599" s="25"/>
      <c r="C599" s="4"/>
      <c r="D599" s="4"/>
      <c r="E599" s="4"/>
      <c r="F599" s="4"/>
      <c r="G599" s="4"/>
      <c r="H599" s="4"/>
      <c r="I599" s="4"/>
      <c r="J599" s="4"/>
      <c r="K599" s="4"/>
      <c r="L599" s="25"/>
    </row>
    <row r="600" spans="2:12" ht="18.75" x14ac:dyDescent="0.3">
      <c r="B600" s="25"/>
      <c r="C600" s="4"/>
      <c r="D600" s="4"/>
      <c r="E600" s="4"/>
      <c r="F600" s="4"/>
      <c r="G600" s="4"/>
      <c r="H600" s="4"/>
      <c r="I600" s="4"/>
      <c r="J600" s="4"/>
      <c r="K600" s="4"/>
      <c r="L600" s="25"/>
    </row>
    <row r="601" spans="2:12" ht="18.75" x14ac:dyDescent="0.3">
      <c r="B601" s="25"/>
      <c r="C601" s="4"/>
      <c r="D601" s="4"/>
      <c r="E601" s="4"/>
      <c r="F601" s="4"/>
      <c r="G601" s="4"/>
      <c r="H601" s="4"/>
      <c r="I601" s="4"/>
      <c r="J601" s="4"/>
      <c r="K601" s="4"/>
      <c r="L601" s="25"/>
    </row>
    <row r="602" spans="2:12" ht="18.75" x14ac:dyDescent="0.3">
      <c r="B602" s="25"/>
      <c r="C602" s="4"/>
      <c r="D602" s="4"/>
      <c r="E602" s="4"/>
      <c r="F602" s="4"/>
      <c r="G602" s="4"/>
      <c r="H602" s="4"/>
      <c r="I602" s="4"/>
      <c r="J602" s="4"/>
      <c r="K602" s="4"/>
      <c r="L602" s="25"/>
    </row>
    <row r="603" spans="2:12" ht="18.75" x14ac:dyDescent="0.3">
      <c r="B603" s="25"/>
      <c r="C603" s="4"/>
      <c r="D603" s="4"/>
      <c r="E603" s="4"/>
      <c r="F603" s="4"/>
      <c r="G603" s="4"/>
      <c r="H603" s="4"/>
      <c r="I603" s="4"/>
      <c r="J603" s="4"/>
      <c r="K603" s="4"/>
      <c r="L603" s="25"/>
    </row>
    <row r="604" spans="2:12" ht="18.75" x14ac:dyDescent="0.3">
      <c r="B604" s="25"/>
      <c r="C604" s="4"/>
      <c r="D604" s="4"/>
      <c r="E604" s="4"/>
      <c r="F604" s="4"/>
      <c r="G604" s="4"/>
      <c r="H604" s="4"/>
      <c r="I604" s="4"/>
      <c r="J604" s="4"/>
      <c r="K604" s="4"/>
      <c r="L604" s="25"/>
    </row>
    <row r="605" spans="2:12" ht="18.75" x14ac:dyDescent="0.3">
      <c r="B605" s="25"/>
      <c r="C605" s="4"/>
      <c r="D605" s="4"/>
      <c r="E605" s="4"/>
      <c r="F605" s="4"/>
      <c r="G605" s="4"/>
      <c r="H605" s="4"/>
      <c r="I605" s="4"/>
      <c r="J605" s="4"/>
      <c r="K605" s="4"/>
      <c r="L605" s="25"/>
    </row>
    <row r="606" spans="2:12" ht="18.75" x14ac:dyDescent="0.3">
      <c r="B606" s="25"/>
      <c r="C606" s="4"/>
      <c r="D606" s="4"/>
      <c r="E606" s="4"/>
      <c r="F606" s="4"/>
      <c r="G606" s="4"/>
      <c r="H606" s="4"/>
      <c r="I606" s="4"/>
      <c r="J606" s="4"/>
      <c r="K606" s="4"/>
      <c r="L606" s="25"/>
    </row>
    <row r="607" spans="2:12" ht="18.75" x14ac:dyDescent="0.3">
      <c r="B607" s="25"/>
      <c r="C607" s="4"/>
      <c r="D607" s="4"/>
      <c r="E607" s="4"/>
      <c r="F607" s="4"/>
      <c r="G607" s="4"/>
      <c r="H607" s="4"/>
      <c r="I607" s="4"/>
      <c r="J607" s="4"/>
      <c r="K607" s="4"/>
      <c r="L607" s="25"/>
    </row>
    <row r="608" spans="2:12" ht="18.75" x14ac:dyDescent="0.3">
      <c r="B608" s="25"/>
      <c r="C608" s="4"/>
      <c r="D608" s="4"/>
      <c r="E608" s="4"/>
      <c r="F608" s="4"/>
      <c r="G608" s="4"/>
      <c r="H608" s="4"/>
      <c r="I608" s="4"/>
      <c r="J608" s="4"/>
      <c r="K608" s="4"/>
      <c r="L608" s="25"/>
    </row>
    <row r="609" spans="2:12" ht="18.75" x14ac:dyDescent="0.3">
      <c r="B609" s="25"/>
      <c r="C609" s="4"/>
      <c r="D609" s="4"/>
      <c r="E609" s="4"/>
      <c r="F609" s="4"/>
      <c r="G609" s="4"/>
      <c r="H609" s="4"/>
      <c r="I609" s="4"/>
      <c r="J609" s="4"/>
      <c r="K609" s="4"/>
      <c r="L609" s="25"/>
    </row>
    <row r="610" spans="2:12" ht="18.75" x14ac:dyDescent="0.3">
      <c r="B610" s="25"/>
      <c r="C610" s="4"/>
      <c r="D610" s="4"/>
      <c r="E610" s="4"/>
      <c r="F610" s="4"/>
      <c r="G610" s="4"/>
      <c r="H610" s="4"/>
      <c r="I610" s="4"/>
      <c r="J610" s="4"/>
      <c r="K610" s="4"/>
      <c r="L610" s="25"/>
    </row>
    <row r="611" spans="2:12" ht="18.75" x14ac:dyDescent="0.3">
      <c r="B611" s="25"/>
      <c r="C611" s="4"/>
      <c r="D611" s="4"/>
      <c r="E611" s="4"/>
      <c r="F611" s="4"/>
      <c r="G611" s="4"/>
      <c r="H611" s="4"/>
      <c r="I611" s="4"/>
      <c r="J611" s="4"/>
      <c r="K611" s="4"/>
      <c r="L611" s="25"/>
    </row>
    <row r="612" spans="2:12" ht="18.75" x14ac:dyDescent="0.3">
      <c r="B612" s="25"/>
      <c r="C612" s="4"/>
      <c r="D612" s="4"/>
      <c r="E612" s="4"/>
      <c r="F612" s="4"/>
      <c r="G612" s="4"/>
      <c r="H612" s="4"/>
      <c r="I612" s="4"/>
      <c r="J612" s="4"/>
      <c r="K612" s="4"/>
      <c r="L612" s="25"/>
    </row>
    <row r="613" spans="2:12" ht="18.75" x14ac:dyDescent="0.3">
      <c r="B613" s="25"/>
      <c r="C613" s="4"/>
      <c r="D613" s="4"/>
      <c r="E613" s="4"/>
      <c r="F613" s="4"/>
      <c r="G613" s="4"/>
      <c r="H613" s="4"/>
      <c r="I613" s="4"/>
      <c r="J613" s="4"/>
      <c r="K613" s="4"/>
      <c r="L613" s="25"/>
    </row>
    <row r="614" spans="2:12" ht="18.75" x14ac:dyDescent="0.3">
      <c r="B614" s="25"/>
      <c r="C614" s="4"/>
      <c r="D614" s="4"/>
      <c r="E614" s="4"/>
      <c r="F614" s="4"/>
      <c r="G614" s="4"/>
      <c r="H614" s="4"/>
      <c r="I614" s="4"/>
      <c r="J614" s="4"/>
      <c r="K614" s="4"/>
      <c r="L614" s="25"/>
    </row>
    <row r="615" spans="2:12" ht="18.75" x14ac:dyDescent="0.3">
      <c r="B615" s="25"/>
      <c r="C615" s="4"/>
      <c r="D615" s="4"/>
      <c r="E615" s="4"/>
      <c r="F615" s="4"/>
      <c r="G615" s="4"/>
      <c r="H615" s="4"/>
      <c r="I615" s="4"/>
      <c r="J615" s="4"/>
      <c r="K615" s="4"/>
      <c r="L615" s="25"/>
    </row>
    <row r="616" spans="2:12" ht="18.75" x14ac:dyDescent="0.3">
      <c r="B616" s="25"/>
      <c r="C616" s="4"/>
      <c r="D616" s="4"/>
      <c r="E616" s="4"/>
      <c r="F616" s="4"/>
      <c r="G616" s="4"/>
      <c r="H616" s="4"/>
      <c r="I616" s="4"/>
      <c r="J616" s="4"/>
      <c r="K616" s="4"/>
      <c r="L616" s="25"/>
    </row>
    <row r="617" spans="2:12" ht="18.75" x14ac:dyDescent="0.3">
      <c r="B617" s="25"/>
      <c r="C617" s="4"/>
      <c r="D617" s="4"/>
      <c r="E617" s="4"/>
      <c r="F617" s="4"/>
      <c r="G617" s="4"/>
      <c r="H617" s="4"/>
      <c r="I617" s="4"/>
      <c r="J617" s="4"/>
      <c r="K617" s="4"/>
      <c r="L617" s="25"/>
    </row>
    <row r="618" spans="2:12" ht="18.75" x14ac:dyDescent="0.3">
      <c r="B618" s="25"/>
      <c r="C618" s="4"/>
      <c r="D618" s="4"/>
      <c r="E618" s="4"/>
      <c r="F618" s="4"/>
      <c r="G618" s="4"/>
      <c r="H618" s="4"/>
      <c r="I618" s="4"/>
      <c r="J618" s="4"/>
      <c r="K618" s="4"/>
      <c r="L618" s="25"/>
    </row>
    <row r="619" spans="2:12" ht="18.75" x14ac:dyDescent="0.3">
      <c r="B619" s="25"/>
      <c r="C619" s="4"/>
      <c r="D619" s="4"/>
      <c r="E619" s="4"/>
      <c r="F619" s="4"/>
      <c r="G619" s="4"/>
      <c r="H619" s="4"/>
      <c r="I619" s="4"/>
      <c r="J619" s="4"/>
      <c r="K619" s="4"/>
      <c r="L619" s="25"/>
    </row>
    <row r="620" spans="2:12" ht="18.75" x14ac:dyDescent="0.3">
      <c r="B620" s="25"/>
      <c r="C620" s="4"/>
      <c r="D620" s="4"/>
      <c r="E620" s="4"/>
      <c r="F620" s="4"/>
      <c r="G620" s="4"/>
      <c r="H620" s="4"/>
      <c r="I620" s="4"/>
      <c r="J620" s="4"/>
      <c r="K620" s="4"/>
      <c r="L620" s="25"/>
    </row>
    <row r="621" spans="2:12" ht="18.75" x14ac:dyDescent="0.3">
      <c r="B621" s="25"/>
      <c r="C621" s="4"/>
      <c r="D621" s="4"/>
      <c r="E621" s="4"/>
      <c r="F621" s="4"/>
      <c r="G621" s="4"/>
      <c r="H621" s="4"/>
      <c r="I621" s="4"/>
      <c r="J621" s="4"/>
      <c r="K621" s="4"/>
      <c r="L621" s="25"/>
    </row>
    <row r="622" spans="2:12" ht="18.75" x14ac:dyDescent="0.3">
      <c r="B622" s="25"/>
      <c r="C622" s="4"/>
      <c r="D622" s="4"/>
      <c r="E622" s="4"/>
      <c r="F622" s="4"/>
      <c r="G622" s="4"/>
      <c r="H622" s="4"/>
      <c r="I622" s="4"/>
      <c r="J622" s="4"/>
      <c r="K622" s="4"/>
      <c r="L622" s="25"/>
    </row>
    <row r="623" spans="2:12" ht="18.75" x14ac:dyDescent="0.3">
      <c r="B623" s="25"/>
      <c r="C623" s="4"/>
      <c r="D623" s="4"/>
      <c r="E623" s="4"/>
      <c r="F623" s="4"/>
      <c r="G623" s="4"/>
      <c r="H623" s="4"/>
      <c r="I623" s="4"/>
      <c r="J623" s="4"/>
      <c r="K623" s="4"/>
      <c r="L623" s="25"/>
    </row>
    <row r="624" spans="2:12" ht="18.75" x14ac:dyDescent="0.3">
      <c r="B624" s="25"/>
      <c r="C624" s="4"/>
      <c r="D624" s="4"/>
      <c r="E624" s="4"/>
      <c r="F624" s="4"/>
      <c r="G624" s="4"/>
      <c r="H624" s="4"/>
      <c r="I624" s="4"/>
      <c r="J624" s="4"/>
      <c r="K624" s="4"/>
      <c r="L624" s="25"/>
    </row>
    <row r="625" spans="2:12" ht="18.75" x14ac:dyDescent="0.3">
      <c r="B625" s="25"/>
      <c r="C625" s="4"/>
      <c r="D625" s="4"/>
      <c r="E625" s="4"/>
      <c r="F625" s="4"/>
      <c r="G625" s="4"/>
      <c r="H625" s="4"/>
      <c r="I625" s="4"/>
      <c r="J625" s="4"/>
      <c r="K625" s="4"/>
      <c r="L625" s="25"/>
    </row>
    <row r="626" spans="2:12" ht="18.75" x14ac:dyDescent="0.3">
      <c r="B626" s="25"/>
      <c r="C626" s="4"/>
      <c r="D626" s="4"/>
      <c r="E626" s="4"/>
      <c r="F626" s="4"/>
      <c r="G626" s="4"/>
      <c r="H626" s="4"/>
      <c r="I626" s="4"/>
      <c r="J626" s="4"/>
      <c r="K626" s="4"/>
      <c r="L626" s="25"/>
    </row>
    <row r="627" spans="2:12" ht="18.75" x14ac:dyDescent="0.3">
      <c r="B627" s="25"/>
      <c r="C627" s="4"/>
      <c r="D627" s="4"/>
      <c r="E627" s="4"/>
      <c r="F627" s="4"/>
      <c r="G627" s="4"/>
      <c r="H627" s="4"/>
      <c r="I627" s="4"/>
      <c r="J627" s="4"/>
      <c r="K627" s="4"/>
      <c r="L627" s="25"/>
    </row>
    <row r="628" spans="2:12" ht="18.75" x14ac:dyDescent="0.3">
      <c r="B628" s="25"/>
      <c r="C628" s="4"/>
      <c r="D628" s="4"/>
      <c r="E628" s="4"/>
      <c r="F628" s="4"/>
      <c r="G628" s="4"/>
      <c r="H628" s="4"/>
      <c r="I628" s="4"/>
      <c r="J628" s="4"/>
      <c r="K628" s="4"/>
      <c r="L628" s="25"/>
    </row>
    <row r="629" spans="2:12" ht="18.75" x14ac:dyDescent="0.3">
      <c r="B629" s="25"/>
      <c r="C629" s="4"/>
      <c r="D629" s="4"/>
      <c r="E629" s="4"/>
      <c r="F629" s="4"/>
      <c r="G629" s="4"/>
      <c r="H629" s="4"/>
      <c r="I629" s="4"/>
      <c r="J629" s="4"/>
      <c r="K629" s="4"/>
      <c r="L629" s="25"/>
    </row>
    <row r="630" spans="2:12" ht="18.75" x14ac:dyDescent="0.3">
      <c r="B630" s="25"/>
      <c r="C630" s="4"/>
      <c r="D630" s="4"/>
      <c r="E630" s="4"/>
      <c r="F630" s="4"/>
      <c r="G630" s="4"/>
      <c r="H630" s="4"/>
      <c r="I630" s="4"/>
      <c r="J630" s="4"/>
      <c r="K630" s="4"/>
      <c r="L630" s="25"/>
    </row>
    <row r="631" spans="2:12" ht="18.75" x14ac:dyDescent="0.3">
      <c r="B631" s="25"/>
      <c r="C631" s="4"/>
      <c r="D631" s="4"/>
      <c r="E631" s="4"/>
      <c r="F631" s="4"/>
      <c r="G631" s="4"/>
      <c r="H631" s="4"/>
      <c r="I631" s="4"/>
      <c r="J631" s="4"/>
      <c r="K631" s="4"/>
      <c r="L631" s="25"/>
    </row>
    <row r="632" spans="2:12" ht="18.75" x14ac:dyDescent="0.3">
      <c r="B632" s="25"/>
      <c r="C632" s="4"/>
      <c r="D632" s="4"/>
      <c r="E632" s="4"/>
      <c r="F632" s="4"/>
      <c r="G632" s="4"/>
      <c r="H632" s="4"/>
      <c r="I632" s="4"/>
      <c r="J632" s="4"/>
      <c r="K632" s="4"/>
      <c r="L632" s="25"/>
    </row>
    <row r="633" spans="2:12" ht="18.75" x14ac:dyDescent="0.3">
      <c r="B633" s="25"/>
      <c r="C633" s="4"/>
      <c r="D633" s="4"/>
      <c r="E633" s="4"/>
      <c r="F633" s="4"/>
      <c r="G633" s="4"/>
      <c r="H633" s="4"/>
      <c r="I633" s="4"/>
      <c r="J633" s="4"/>
      <c r="K633" s="4"/>
      <c r="L633" s="25"/>
    </row>
    <row r="634" spans="2:12" ht="18.75" x14ac:dyDescent="0.3">
      <c r="B634" s="25"/>
      <c r="C634" s="4"/>
      <c r="D634" s="4"/>
      <c r="E634" s="4"/>
      <c r="F634" s="4"/>
      <c r="G634" s="4"/>
      <c r="H634" s="4"/>
      <c r="I634" s="4"/>
      <c r="J634" s="4"/>
      <c r="K634" s="4"/>
      <c r="L634" s="25"/>
    </row>
    <row r="635" spans="2:12" ht="18.75" x14ac:dyDescent="0.3">
      <c r="B635" s="25"/>
      <c r="C635" s="4"/>
      <c r="D635" s="4"/>
      <c r="E635" s="4"/>
      <c r="F635" s="4"/>
      <c r="G635" s="4"/>
      <c r="H635" s="4"/>
      <c r="I635" s="4"/>
      <c r="J635" s="4"/>
      <c r="K635" s="4"/>
      <c r="L635" s="25"/>
    </row>
    <row r="636" spans="2:12" ht="18.75" x14ac:dyDescent="0.3">
      <c r="B636" s="25"/>
      <c r="C636" s="4"/>
      <c r="D636" s="4"/>
      <c r="E636" s="4"/>
      <c r="F636" s="4"/>
      <c r="G636" s="4"/>
      <c r="H636" s="4"/>
      <c r="I636" s="4"/>
      <c r="J636" s="4"/>
      <c r="K636" s="4"/>
      <c r="L636" s="25"/>
    </row>
    <row r="637" spans="2:12" ht="18.75" x14ac:dyDescent="0.3">
      <c r="B637" s="25"/>
      <c r="C637" s="4"/>
      <c r="D637" s="4"/>
      <c r="E637" s="4"/>
      <c r="F637" s="4"/>
      <c r="G637" s="4"/>
      <c r="H637" s="4"/>
      <c r="I637" s="4"/>
      <c r="J637" s="4"/>
      <c r="K637" s="4"/>
      <c r="L637" s="25"/>
    </row>
    <row r="638" spans="2:12" ht="18.75" x14ac:dyDescent="0.3">
      <c r="B638" s="25"/>
      <c r="C638" s="4"/>
      <c r="D638" s="4"/>
      <c r="E638" s="4"/>
      <c r="F638" s="4"/>
      <c r="G638" s="4"/>
      <c r="H638" s="4"/>
      <c r="I638" s="4"/>
      <c r="J638" s="4"/>
      <c r="K638" s="4"/>
      <c r="L638" s="25"/>
    </row>
    <row r="639" spans="2:12" ht="18.75" x14ac:dyDescent="0.3">
      <c r="B639" s="25"/>
      <c r="C639" s="4"/>
      <c r="D639" s="4"/>
      <c r="E639" s="4"/>
      <c r="F639" s="4"/>
      <c r="G639" s="4"/>
      <c r="H639" s="4"/>
      <c r="I639" s="4"/>
      <c r="J639" s="4"/>
      <c r="K639" s="4"/>
      <c r="L639" s="25"/>
    </row>
    <row r="640" spans="2:12" ht="18.75" x14ac:dyDescent="0.3">
      <c r="B640" s="25"/>
      <c r="C640" s="4"/>
      <c r="D640" s="4"/>
      <c r="E640" s="4"/>
      <c r="F640" s="4"/>
      <c r="G640" s="4"/>
      <c r="H640" s="4"/>
      <c r="I640" s="4"/>
      <c r="J640" s="4"/>
      <c r="K640" s="4"/>
      <c r="L640" s="25"/>
    </row>
    <row r="641" spans="2:12" ht="18.75" x14ac:dyDescent="0.3">
      <c r="B641" s="25"/>
      <c r="C641" s="4"/>
      <c r="D641" s="4"/>
      <c r="E641" s="4"/>
      <c r="F641" s="4"/>
      <c r="G641" s="4"/>
      <c r="H641" s="4"/>
      <c r="I641" s="4"/>
      <c r="J641" s="4"/>
      <c r="K641" s="4"/>
      <c r="L641" s="25"/>
    </row>
    <row r="642" spans="2:12" ht="18.75" x14ac:dyDescent="0.3">
      <c r="B642" s="25"/>
      <c r="C642" s="4"/>
      <c r="D642" s="4"/>
      <c r="E642" s="4"/>
      <c r="F642" s="4"/>
      <c r="G642" s="4"/>
      <c r="H642" s="4"/>
      <c r="I642" s="4"/>
      <c r="J642" s="4"/>
      <c r="K642" s="4"/>
      <c r="L642" s="25"/>
    </row>
    <row r="643" spans="2:12" ht="18.75" x14ac:dyDescent="0.3">
      <c r="B643" s="25"/>
      <c r="C643" s="4"/>
      <c r="D643" s="4"/>
      <c r="E643" s="4"/>
      <c r="F643" s="4"/>
      <c r="G643" s="4"/>
      <c r="H643" s="4"/>
      <c r="I643" s="4"/>
      <c r="J643" s="4"/>
      <c r="K643" s="4"/>
      <c r="L643" s="25"/>
    </row>
    <row r="644" spans="2:12" ht="18.75" x14ac:dyDescent="0.3">
      <c r="B644" s="25"/>
      <c r="C644" s="4"/>
      <c r="D644" s="4"/>
      <c r="E644" s="4"/>
      <c r="F644" s="4"/>
      <c r="G644" s="4"/>
      <c r="H644" s="4"/>
      <c r="I644" s="4"/>
      <c r="J644" s="4"/>
      <c r="K644" s="4"/>
      <c r="L644" s="25"/>
    </row>
    <row r="645" spans="2:12" ht="18.75" x14ac:dyDescent="0.3">
      <c r="B645" s="25"/>
      <c r="C645" s="4"/>
      <c r="D645" s="4"/>
      <c r="E645" s="4"/>
      <c r="F645" s="4"/>
      <c r="G645" s="4"/>
      <c r="H645" s="4"/>
      <c r="I645" s="4"/>
      <c r="J645" s="4"/>
      <c r="K645" s="4"/>
      <c r="L645" s="25"/>
    </row>
    <row r="646" spans="2:12" ht="18.75" x14ac:dyDescent="0.3">
      <c r="B646" s="25"/>
      <c r="C646" s="4"/>
      <c r="D646" s="4"/>
      <c r="E646" s="4"/>
      <c r="F646" s="4"/>
      <c r="G646" s="4"/>
      <c r="H646" s="4"/>
      <c r="I646" s="4"/>
      <c r="J646" s="4"/>
      <c r="K646" s="4"/>
      <c r="L646" s="25"/>
    </row>
    <row r="647" spans="2:12" ht="18.75" x14ac:dyDescent="0.3">
      <c r="B647" s="25"/>
      <c r="C647" s="4"/>
      <c r="D647" s="4"/>
      <c r="E647" s="4"/>
      <c r="F647" s="4"/>
      <c r="G647" s="4"/>
      <c r="H647" s="4"/>
      <c r="I647" s="4"/>
      <c r="J647" s="4"/>
      <c r="K647" s="4"/>
      <c r="L647" s="25"/>
    </row>
    <row r="648" spans="2:12" ht="18.75" x14ac:dyDescent="0.3">
      <c r="B648" s="25"/>
      <c r="C648" s="4"/>
      <c r="D648" s="4"/>
      <c r="E648" s="4"/>
      <c r="F648" s="4"/>
      <c r="G648" s="4"/>
      <c r="H648" s="4"/>
      <c r="I648" s="4"/>
      <c r="J648" s="4"/>
      <c r="K648" s="4"/>
      <c r="L648" s="25"/>
    </row>
    <row r="649" spans="2:12" ht="18.75" x14ac:dyDescent="0.3">
      <c r="B649" s="25"/>
      <c r="C649" s="4"/>
      <c r="D649" s="4"/>
      <c r="E649" s="4"/>
      <c r="F649" s="4"/>
      <c r="G649" s="4"/>
      <c r="H649" s="4"/>
      <c r="I649" s="4"/>
      <c r="J649" s="4"/>
      <c r="K649" s="4"/>
      <c r="L649" s="25"/>
    </row>
    <row r="650" spans="2:12" ht="18.75" x14ac:dyDescent="0.3">
      <c r="B650" s="25"/>
      <c r="C650" s="4"/>
      <c r="D650" s="4"/>
      <c r="E650" s="4"/>
      <c r="F650" s="4"/>
      <c r="G650" s="4"/>
      <c r="H650" s="4"/>
      <c r="I650" s="4"/>
      <c r="J650" s="4"/>
      <c r="K650" s="4"/>
      <c r="L650" s="25"/>
    </row>
    <row r="651" spans="2:12" ht="18.75" x14ac:dyDescent="0.3">
      <c r="B651" s="25"/>
      <c r="C651" s="4"/>
      <c r="D651" s="4"/>
      <c r="E651" s="4"/>
      <c r="F651" s="4"/>
      <c r="G651" s="4"/>
      <c r="H651" s="4"/>
      <c r="I651" s="4"/>
      <c r="J651" s="4"/>
      <c r="K651" s="4"/>
      <c r="L651" s="25"/>
    </row>
    <row r="652" spans="2:12" ht="18.75" x14ac:dyDescent="0.3">
      <c r="B652" s="25"/>
      <c r="C652" s="4"/>
      <c r="D652" s="4"/>
      <c r="E652" s="4"/>
      <c r="F652" s="4"/>
      <c r="G652" s="4"/>
      <c r="H652" s="4"/>
      <c r="I652" s="4"/>
      <c r="J652" s="4"/>
      <c r="K652" s="4"/>
      <c r="L652" s="25"/>
    </row>
    <row r="653" spans="2:12" ht="18.75" x14ac:dyDescent="0.3">
      <c r="B653" s="25"/>
      <c r="C653" s="4"/>
      <c r="D653" s="4"/>
      <c r="E653" s="4"/>
      <c r="F653" s="4"/>
      <c r="G653" s="4"/>
      <c r="H653" s="4"/>
      <c r="I653" s="4"/>
      <c r="J653" s="4"/>
      <c r="K653" s="4"/>
      <c r="L653" s="25"/>
    </row>
    <row r="654" spans="2:12" ht="18.75" x14ac:dyDescent="0.3">
      <c r="B654" s="25"/>
      <c r="C654" s="4"/>
      <c r="D654" s="4"/>
      <c r="E654" s="4"/>
      <c r="F654" s="4"/>
      <c r="G654" s="4"/>
      <c r="H654" s="4"/>
      <c r="I654" s="4"/>
      <c r="J654" s="4"/>
      <c r="K654" s="4"/>
      <c r="L654" s="25"/>
    </row>
    <row r="655" spans="2:12" ht="18.75" x14ac:dyDescent="0.3">
      <c r="B655" s="25"/>
      <c r="C655" s="4"/>
      <c r="D655" s="4"/>
      <c r="E655" s="4"/>
      <c r="F655" s="4"/>
      <c r="G655" s="4"/>
      <c r="H655" s="4"/>
      <c r="I655" s="4"/>
      <c r="J655" s="4"/>
      <c r="K655" s="4"/>
      <c r="L655" s="25"/>
    </row>
    <row r="656" spans="2:12" ht="18.75" x14ac:dyDescent="0.3">
      <c r="B656" s="25"/>
      <c r="C656" s="4"/>
      <c r="D656" s="4"/>
      <c r="E656" s="4"/>
      <c r="F656" s="4"/>
      <c r="G656" s="4"/>
      <c r="H656" s="4"/>
      <c r="I656" s="4"/>
      <c r="J656" s="4"/>
      <c r="K656" s="4"/>
      <c r="L656" s="25"/>
    </row>
    <row r="657" spans="2:12" ht="18.75" x14ac:dyDescent="0.3">
      <c r="B657" s="25"/>
      <c r="C657" s="4"/>
      <c r="D657" s="4"/>
      <c r="E657" s="4"/>
      <c r="F657" s="4"/>
      <c r="G657" s="4"/>
      <c r="H657" s="4"/>
      <c r="I657" s="4"/>
      <c r="J657" s="4"/>
      <c r="K657" s="4"/>
      <c r="L657" s="25"/>
    </row>
    <row r="658" spans="2:12" ht="18.75" x14ac:dyDescent="0.3">
      <c r="B658" s="25"/>
      <c r="C658" s="4"/>
      <c r="D658" s="4"/>
      <c r="E658" s="4"/>
      <c r="F658" s="4"/>
      <c r="G658" s="4"/>
      <c r="H658" s="4"/>
      <c r="I658" s="4"/>
      <c r="J658" s="4"/>
      <c r="K658" s="4"/>
      <c r="L658" s="25"/>
    </row>
    <row r="659" spans="2:12" ht="18.75" x14ac:dyDescent="0.3">
      <c r="B659" s="25"/>
      <c r="C659" s="4"/>
      <c r="D659" s="4"/>
      <c r="E659" s="4"/>
      <c r="F659" s="4"/>
      <c r="G659" s="4"/>
      <c r="H659" s="4"/>
      <c r="I659" s="4"/>
      <c r="J659" s="4"/>
      <c r="K659" s="4"/>
      <c r="L659" s="25"/>
    </row>
    <row r="660" spans="2:12" ht="18.75" x14ac:dyDescent="0.3">
      <c r="B660" s="25"/>
      <c r="C660" s="4"/>
      <c r="D660" s="4"/>
      <c r="E660" s="4"/>
      <c r="F660" s="4"/>
      <c r="G660" s="4"/>
      <c r="H660" s="4"/>
      <c r="I660" s="4"/>
      <c r="J660" s="4"/>
      <c r="K660" s="4"/>
      <c r="L660" s="25"/>
    </row>
    <row r="661" spans="2:12" ht="18.75" x14ac:dyDescent="0.3">
      <c r="B661" s="25"/>
      <c r="C661" s="4"/>
      <c r="D661" s="4"/>
      <c r="E661" s="4"/>
      <c r="F661" s="4"/>
      <c r="G661" s="4"/>
      <c r="H661" s="4"/>
      <c r="I661" s="4"/>
      <c r="J661" s="4"/>
      <c r="K661" s="4"/>
      <c r="L661" s="25"/>
    </row>
    <row r="662" spans="2:12" ht="18.75" x14ac:dyDescent="0.3">
      <c r="B662" s="25"/>
      <c r="C662" s="4"/>
      <c r="D662" s="4"/>
      <c r="E662" s="4"/>
      <c r="F662" s="4"/>
      <c r="G662" s="4"/>
      <c r="H662" s="4"/>
      <c r="I662" s="4"/>
      <c r="J662" s="4"/>
      <c r="K662" s="4"/>
      <c r="L662" s="25"/>
    </row>
    <row r="663" spans="2:12" ht="18.75" x14ac:dyDescent="0.3">
      <c r="B663" s="25"/>
      <c r="C663" s="4"/>
      <c r="D663" s="4"/>
      <c r="E663" s="4"/>
      <c r="F663" s="4"/>
      <c r="G663" s="4"/>
      <c r="H663" s="4"/>
      <c r="I663" s="4"/>
      <c r="J663" s="4"/>
      <c r="K663" s="4"/>
      <c r="L663" s="25"/>
    </row>
    <row r="664" spans="2:12" ht="18.75" x14ac:dyDescent="0.3">
      <c r="B664" s="25"/>
      <c r="C664" s="4"/>
      <c r="D664" s="4"/>
      <c r="E664" s="4"/>
      <c r="F664" s="4"/>
      <c r="G664" s="4"/>
      <c r="H664" s="4"/>
      <c r="I664" s="4"/>
      <c r="J664" s="4"/>
      <c r="K664" s="4"/>
      <c r="L664" s="25"/>
    </row>
    <row r="665" spans="2:12" ht="18.75" x14ac:dyDescent="0.3">
      <c r="B665" s="25"/>
      <c r="C665" s="4"/>
      <c r="D665" s="4"/>
      <c r="E665" s="4"/>
      <c r="F665" s="4"/>
      <c r="G665" s="4"/>
      <c r="H665" s="4"/>
      <c r="I665" s="4"/>
      <c r="J665" s="4"/>
      <c r="K665" s="4"/>
      <c r="L665" s="25"/>
    </row>
    <row r="666" spans="2:12" ht="18.75" x14ac:dyDescent="0.3">
      <c r="B666" s="25"/>
      <c r="C666" s="4"/>
      <c r="D666" s="4"/>
      <c r="E666" s="4"/>
      <c r="F666" s="4"/>
      <c r="G666" s="4"/>
      <c r="H666" s="4"/>
      <c r="I666" s="4"/>
      <c r="J666" s="4"/>
      <c r="K666" s="4"/>
      <c r="L666" s="25"/>
    </row>
    <row r="667" spans="2:12" ht="18.75" x14ac:dyDescent="0.3">
      <c r="B667" s="25"/>
      <c r="C667" s="4"/>
      <c r="D667" s="4"/>
      <c r="E667" s="4"/>
      <c r="F667" s="4"/>
      <c r="G667" s="4"/>
      <c r="H667" s="4"/>
      <c r="I667" s="4"/>
      <c r="J667" s="4"/>
      <c r="K667" s="4"/>
      <c r="L667" s="25"/>
    </row>
    <row r="668" spans="2:12" ht="18.75" x14ac:dyDescent="0.3">
      <c r="B668" s="25"/>
      <c r="C668" s="4"/>
      <c r="D668" s="4"/>
      <c r="E668" s="4"/>
      <c r="F668" s="4"/>
      <c r="G668" s="4"/>
      <c r="H668" s="4"/>
      <c r="I668" s="4"/>
      <c r="J668" s="4"/>
      <c r="K668" s="4"/>
      <c r="L668" s="25"/>
    </row>
    <row r="669" spans="2:12" ht="18.75" x14ac:dyDescent="0.3">
      <c r="B669" s="25"/>
      <c r="C669" s="4"/>
      <c r="D669" s="4"/>
      <c r="E669" s="4"/>
      <c r="F669" s="4"/>
      <c r="G669" s="4"/>
      <c r="H669" s="4"/>
      <c r="I669" s="4"/>
      <c r="J669" s="4"/>
      <c r="K669" s="4"/>
      <c r="L669" s="25"/>
    </row>
    <row r="670" spans="2:12" ht="18.75" x14ac:dyDescent="0.3">
      <c r="B670" s="25"/>
      <c r="C670" s="4"/>
      <c r="D670" s="4"/>
      <c r="E670" s="4"/>
      <c r="F670" s="4"/>
      <c r="G670" s="4"/>
      <c r="H670" s="4"/>
      <c r="I670" s="4"/>
      <c r="J670" s="4"/>
      <c r="K670" s="4"/>
      <c r="L670" s="25"/>
    </row>
    <row r="671" spans="2:12" ht="18.75" x14ac:dyDescent="0.3">
      <c r="B671" s="25"/>
      <c r="C671" s="4"/>
      <c r="D671" s="4"/>
      <c r="E671" s="4"/>
      <c r="F671" s="4"/>
      <c r="G671" s="4"/>
      <c r="H671" s="4"/>
      <c r="I671" s="4"/>
      <c r="J671" s="4"/>
      <c r="K671" s="4"/>
      <c r="L671" s="25"/>
    </row>
    <row r="672" spans="2:12" ht="18.75" x14ac:dyDescent="0.3">
      <c r="B672" s="25"/>
      <c r="C672" s="4"/>
      <c r="D672" s="4"/>
      <c r="E672" s="4"/>
      <c r="F672" s="4"/>
      <c r="G672" s="4"/>
      <c r="H672" s="4"/>
      <c r="I672" s="4"/>
      <c r="J672" s="4"/>
      <c r="K672" s="4"/>
      <c r="L672" s="25"/>
    </row>
    <row r="673" spans="2:12" ht="18.75" x14ac:dyDescent="0.3">
      <c r="B673" s="25"/>
      <c r="C673" s="4"/>
      <c r="D673" s="4"/>
      <c r="E673" s="4"/>
      <c r="F673" s="4"/>
      <c r="G673" s="4"/>
      <c r="H673" s="4"/>
      <c r="I673" s="4"/>
      <c r="J673" s="4"/>
      <c r="K673" s="4"/>
      <c r="L673" s="25"/>
    </row>
    <row r="674" spans="2:12" ht="18.75" x14ac:dyDescent="0.3">
      <c r="B674" s="25"/>
      <c r="C674" s="4"/>
      <c r="D674" s="4"/>
      <c r="E674" s="4"/>
      <c r="F674" s="4"/>
      <c r="G674" s="4"/>
      <c r="H674" s="4"/>
      <c r="I674" s="4"/>
      <c r="J674" s="4"/>
      <c r="K674" s="4"/>
      <c r="L674" s="25"/>
    </row>
    <row r="675" spans="2:12" ht="18.75" x14ac:dyDescent="0.3">
      <c r="B675" s="25"/>
      <c r="C675" s="4"/>
      <c r="D675" s="4"/>
      <c r="E675" s="4"/>
      <c r="F675" s="4"/>
      <c r="G675" s="4"/>
      <c r="H675" s="4"/>
      <c r="I675" s="4"/>
      <c r="J675" s="4"/>
      <c r="K675" s="4"/>
      <c r="L675" s="25"/>
    </row>
    <row r="676" spans="2:12" ht="18.75" x14ac:dyDescent="0.3">
      <c r="B676" s="25"/>
      <c r="C676" s="4"/>
      <c r="D676" s="4"/>
      <c r="E676" s="4"/>
      <c r="F676" s="4"/>
      <c r="G676" s="4"/>
      <c r="H676" s="4"/>
      <c r="I676" s="4"/>
      <c r="J676" s="4"/>
      <c r="K676" s="4"/>
      <c r="L676" s="25"/>
    </row>
    <row r="677" spans="2:12" ht="18.75" x14ac:dyDescent="0.3">
      <c r="B677" s="25"/>
      <c r="C677" s="4"/>
      <c r="D677" s="4"/>
      <c r="E677" s="4"/>
      <c r="F677" s="4"/>
      <c r="G677" s="4"/>
      <c r="H677" s="4"/>
      <c r="I677" s="4"/>
      <c r="J677" s="4"/>
      <c r="K677" s="4"/>
      <c r="L677" s="25"/>
    </row>
    <row r="678" spans="2:12" ht="18.75" x14ac:dyDescent="0.3">
      <c r="B678" s="25"/>
      <c r="C678" s="4"/>
      <c r="D678" s="4"/>
      <c r="E678" s="4"/>
      <c r="F678" s="4"/>
      <c r="G678" s="4"/>
      <c r="H678" s="4"/>
      <c r="I678" s="4"/>
      <c r="J678" s="4"/>
      <c r="K678" s="4"/>
      <c r="L678" s="25"/>
    </row>
    <row r="679" spans="2:12" ht="18.75" x14ac:dyDescent="0.3">
      <c r="B679" s="25"/>
      <c r="C679" s="4"/>
      <c r="D679" s="4"/>
      <c r="E679" s="4"/>
      <c r="F679" s="4"/>
      <c r="G679" s="4"/>
      <c r="H679" s="4"/>
      <c r="I679" s="4"/>
      <c r="J679" s="4"/>
      <c r="K679" s="4"/>
      <c r="L679" s="25"/>
    </row>
    <row r="680" spans="2:12" ht="18.75" x14ac:dyDescent="0.3">
      <c r="B680" s="25"/>
      <c r="C680" s="4"/>
      <c r="D680" s="4"/>
      <c r="E680" s="4"/>
      <c r="F680" s="4"/>
      <c r="G680" s="4"/>
      <c r="H680" s="4"/>
      <c r="I680" s="4"/>
      <c r="J680" s="4"/>
      <c r="K680" s="4"/>
      <c r="L680" s="25"/>
    </row>
    <row r="681" spans="2:12" ht="18.75" x14ac:dyDescent="0.3">
      <c r="B681" s="25"/>
      <c r="C681" s="4"/>
      <c r="D681" s="4"/>
      <c r="E681" s="4"/>
      <c r="F681" s="4"/>
      <c r="G681" s="4"/>
      <c r="H681" s="4"/>
      <c r="I681" s="4"/>
      <c r="J681" s="4"/>
      <c r="K681" s="4"/>
      <c r="L681" s="25"/>
    </row>
    <row r="682" spans="2:12" ht="18.75" x14ac:dyDescent="0.3">
      <c r="B682" s="25"/>
      <c r="C682" s="4"/>
      <c r="D682" s="4"/>
      <c r="E682" s="4"/>
      <c r="F682" s="4"/>
      <c r="G682" s="4"/>
      <c r="H682" s="4"/>
      <c r="I682" s="4"/>
      <c r="J682" s="4"/>
      <c r="K682" s="4"/>
      <c r="L682" s="25"/>
    </row>
    <row r="683" spans="2:12" ht="18.75" x14ac:dyDescent="0.3">
      <c r="B683" s="25"/>
      <c r="C683" s="4"/>
      <c r="D683" s="4"/>
      <c r="E683" s="4"/>
      <c r="F683" s="4"/>
      <c r="G683" s="4"/>
      <c r="H683" s="4"/>
      <c r="I683" s="4"/>
      <c r="J683" s="4"/>
      <c r="K683" s="4"/>
      <c r="L683" s="25"/>
    </row>
    <row r="684" spans="2:12" ht="18.75" x14ac:dyDescent="0.3">
      <c r="B684" s="25"/>
      <c r="C684" s="4"/>
      <c r="D684" s="4"/>
      <c r="E684" s="4"/>
      <c r="F684" s="4"/>
      <c r="G684" s="4"/>
      <c r="H684" s="4"/>
      <c r="I684" s="4"/>
      <c r="J684" s="4"/>
      <c r="K684" s="4"/>
      <c r="L684" s="25"/>
    </row>
    <row r="685" spans="2:12" ht="18.75" x14ac:dyDescent="0.3">
      <c r="B685" s="25"/>
      <c r="C685" s="4"/>
      <c r="D685" s="4"/>
      <c r="E685" s="4"/>
      <c r="F685" s="4"/>
      <c r="G685" s="4"/>
      <c r="H685" s="4"/>
      <c r="I685" s="4"/>
      <c r="J685" s="4"/>
      <c r="K685" s="4"/>
      <c r="L685" s="25"/>
    </row>
    <row r="686" spans="2:12" ht="18.75" x14ac:dyDescent="0.3">
      <c r="B686" s="25"/>
      <c r="C686" s="4"/>
      <c r="D686" s="4"/>
      <c r="E686" s="4"/>
      <c r="F686" s="4"/>
      <c r="G686" s="4"/>
      <c r="H686" s="4"/>
      <c r="I686" s="4"/>
      <c r="J686" s="4"/>
      <c r="K686" s="4"/>
      <c r="L686" s="25"/>
    </row>
    <row r="687" spans="2:12" ht="18.75" x14ac:dyDescent="0.3">
      <c r="B687" s="25"/>
      <c r="C687" s="4"/>
      <c r="D687" s="4"/>
      <c r="E687" s="4"/>
      <c r="F687" s="4"/>
      <c r="G687" s="4"/>
      <c r="H687" s="4"/>
      <c r="I687" s="4"/>
      <c r="J687" s="4"/>
      <c r="K687" s="4"/>
      <c r="L687" s="25"/>
    </row>
    <row r="688" spans="2:12" ht="18.75" x14ac:dyDescent="0.3">
      <c r="B688" s="25"/>
      <c r="C688" s="4"/>
      <c r="D688" s="4"/>
      <c r="E688" s="4"/>
      <c r="F688" s="4"/>
      <c r="G688" s="4"/>
      <c r="H688" s="4"/>
      <c r="I688" s="4"/>
      <c r="J688" s="4"/>
      <c r="K688" s="4"/>
      <c r="L688" s="25"/>
    </row>
    <row r="689" spans="2:12" ht="18.75" x14ac:dyDescent="0.3">
      <c r="B689" s="25"/>
      <c r="C689" s="4"/>
      <c r="D689" s="4"/>
      <c r="E689" s="4"/>
      <c r="F689" s="4"/>
      <c r="G689" s="4"/>
      <c r="H689" s="4"/>
      <c r="I689" s="4"/>
      <c r="J689" s="4"/>
      <c r="K689" s="4"/>
      <c r="L689" s="25"/>
    </row>
    <row r="690" spans="2:12" ht="18.75" x14ac:dyDescent="0.3">
      <c r="B690" s="25"/>
      <c r="C690" s="4"/>
      <c r="D690" s="4"/>
      <c r="E690" s="4"/>
      <c r="F690" s="4"/>
      <c r="G690" s="4"/>
      <c r="H690" s="4"/>
      <c r="I690" s="4"/>
      <c r="J690" s="4"/>
      <c r="K690" s="4"/>
      <c r="L690" s="25"/>
    </row>
    <row r="691" spans="2:12" ht="18.75" x14ac:dyDescent="0.3">
      <c r="B691" s="25"/>
      <c r="C691" s="4"/>
      <c r="D691" s="4"/>
      <c r="E691" s="4"/>
      <c r="F691" s="4"/>
      <c r="G691" s="4"/>
      <c r="H691" s="4"/>
      <c r="I691" s="4"/>
      <c r="J691" s="4"/>
      <c r="K691" s="4"/>
      <c r="L691" s="25"/>
    </row>
    <row r="692" spans="2:12" ht="18.75" x14ac:dyDescent="0.3">
      <c r="B692" s="25"/>
      <c r="C692" s="4"/>
      <c r="D692" s="4"/>
      <c r="E692" s="4"/>
      <c r="F692" s="4"/>
      <c r="G692" s="4"/>
      <c r="H692" s="4"/>
      <c r="I692" s="4"/>
      <c r="J692" s="4"/>
      <c r="K692" s="4"/>
      <c r="L692" s="25"/>
    </row>
    <row r="693" spans="2:12" ht="18.75" x14ac:dyDescent="0.3">
      <c r="B693" s="25"/>
      <c r="C693" s="4"/>
      <c r="D693" s="4"/>
      <c r="E693" s="4"/>
      <c r="F693" s="4"/>
      <c r="G693" s="4"/>
      <c r="H693" s="4"/>
      <c r="I693" s="4"/>
      <c r="J693" s="4"/>
      <c r="K693" s="4"/>
      <c r="L693" s="25"/>
    </row>
    <row r="694" spans="2:12" ht="18.75" x14ac:dyDescent="0.3">
      <c r="B694" s="25"/>
      <c r="C694" s="4"/>
      <c r="D694" s="4"/>
      <c r="E694" s="4"/>
      <c r="F694" s="4"/>
      <c r="G694" s="4"/>
      <c r="H694" s="4"/>
      <c r="I694" s="4"/>
      <c r="J694" s="4"/>
      <c r="K694" s="4"/>
      <c r="L694" s="25"/>
    </row>
  </sheetData>
  <mergeCells count="21">
    <mergeCell ref="W8:X8"/>
    <mergeCell ref="Y8:Z8"/>
    <mergeCell ref="AA8:AB8"/>
    <mergeCell ref="M8:N8"/>
    <mergeCell ref="O8:P8"/>
    <mergeCell ref="Q8:R8"/>
    <mergeCell ref="S8:T8"/>
    <mergeCell ref="U8:V8"/>
    <mergeCell ref="A33:B33"/>
    <mergeCell ref="A1:K1"/>
    <mergeCell ref="A2:K2"/>
    <mergeCell ref="A3:K3"/>
    <mergeCell ref="A4:K4"/>
    <mergeCell ref="A8:B8"/>
    <mergeCell ref="A12:B12"/>
    <mergeCell ref="C8:D8"/>
    <mergeCell ref="E8:F8"/>
    <mergeCell ref="G8:H8"/>
    <mergeCell ref="I8:J8"/>
    <mergeCell ref="K8:L8"/>
    <mergeCell ref="A6:D6"/>
  </mergeCells>
  <printOptions horizontalCentered="1"/>
  <pageMargins left="0.25" right="0.25" top="0.75" bottom="0.75" header="0.3" footer="0.3"/>
  <pageSetup paperSize="5" scale="6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46"/>
  <sheetViews>
    <sheetView workbookViewId="0">
      <selection sqref="A1:B1"/>
    </sheetView>
  </sheetViews>
  <sheetFormatPr baseColWidth="10" defaultColWidth="11.42578125" defaultRowHeight="20.100000000000001" customHeight="1" x14ac:dyDescent="0.25"/>
  <cols>
    <col min="1" max="1" width="54" style="2" bestFit="1" customWidth="1"/>
    <col min="2" max="2" width="32.42578125" style="2" bestFit="1" customWidth="1"/>
    <col min="3" max="16384" width="11.42578125" style="2"/>
  </cols>
  <sheetData>
    <row r="1" spans="1:2" ht="30" x14ac:dyDescent="0.4">
      <c r="A1" s="396" t="s">
        <v>105</v>
      </c>
      <c r="B1" s="396"/>
    </row>
    <row r="2" spans="1:2" ht="20.100000000000001" customHeight="1" x14ac:dyDescent="0.25">
      <c r="A2" s="397" t="s">
        <v>123</v>
      </c>
      <c r="B2" s="397"/>
    </row>
    <row r="3" spans="1:2" ht="20.100000000000001" customHeight="1" x14ac:dyDescent="0.25">
      <c r="A3" s="397" t="s">
        <v>122</v>
      </c>
      <c r="B3" s="397"/>
    </row>
    <row r="4" spans="1:2" ht="20.100000000000001" customHeight="1" x14ac:dyDescent="0.25">
      <c r="A4" s="398" t="s">
        <v>120</v>
      </c>
      <c r="B4" s="398"/>
    </row>
    <row r="5" spans="1:2" ht="20.100000000000001" customHeight="1" x14ac:dyDescent="0.25">
      <c r="A5" s="399" t="s">
        <v>121</v>
      </c>
      <c r="B5" s="399"/>
    </row>
    <row r="8" spans="1:2" ht="20.100000000000001" customHeight="1" x14ac:dyDescent="0.25">
      <c r="A8" s="91" t="s">
        <v>99</v>
      </c>
    </row>
    <row r="9" spans="1:2" ht="20.100000000000001" customHeight="1" x14ac:dyDescent="0.25">
      <c r="A9" s="395" t="s">
        <v>117</v>
      </c>
      <c r="B9" s="395"/>
    </row>
    <row r="10" spans="1:2" ht="20.100000000000001" customHeight="1" x14ac:dyDescent="0.25">
      <c r="A10" s="92"/>
    </row>
    <row r="11" spans="1:2" ht="20.100000000000001" customHeight="1" x14ac:dyDescent="0.25">
      <c r="A11" s="102" t="s">
        <v>100</v>
      </c>
      <c r="B11" s="102" t="s">
        <v>118</v>
      </c>
    </row>
    <row r="12" spans="1:2" ht="20.100000000000001" customHeight="1" x14ac:dyDescent="0.25">
      <c r="A12" s="92" t="s">
        <v>107</v>
      </c>
      <c r="B12" s="103" t="s">
        <v>119</v>
      </c>
    </row>
    <row r="13" spans="1:2" ht="20.100000000000001" customHeight="1" x14ac:dyDescent="0.25">
      <c r="A13" s="92" t="s">
        <v>16</v>
      </c>
      <c r="B13" s="103" t="s">
        <v>119</v>
      </c>
    </row>
    <row r="14" spans="1:2" ht="20.100000000000001" customHeight="1" x14ac:dyDescent="0.25">
      <c r="A14" s="92" t="s">
        <v>108</v>
      </c>
      <c r="B14" s="103" t="s">
        <v>119</v>
      </c>
    </row>
    <row r="15" spans="1:2" ht="20.100000000000001" customHeight="1" x14ac:dyDescent="0.25">
      <c r="A15" s="100" t="s">
        <v>32</v>
      </c>
      <c r="B15" s="100"/>
    </row>
    <row r="16" spans="1:2" ht="20.100000000000001" customHeight="1" x14ac:dyDescent="0.25">
      <c r="A16" s="101" t="s">
        <v>101</v>
      </c>
      <c r="B16" s="103" t="s">
        <v>119</v>
      </c>
    </row>
    <row r="17" spans="1:2" ht="20.100000000000001" customHeight="1" x14ac:dyDescent="0.25">
      <c r="A17" s="100" t="s">
        <v>109</v>
      </c>
      <c r="B17" s="100"/>
    </row>
    <row r="18" spans="1:2" ht="20.100000000000001" customHeight="1" x14ac:dyDescent="0.25">
      <c r="A18" s="92" t="s">
        <v>110</v>
      </c>
      <c r="B18" s="103" t="s">
        <v>119</v>
      </c>
    </row>
    <row r="19" spans="1:2" ht="20.100000000000001" customHeight="1" x14ac:dyDescent="0.25">
      <c r="A19" s="100" t="s">
        <v>138</v>
      </c>
      <c r="B19" s="100"/>
    </row>
    <row r="20" spans="1:2" ht="20.100000000000001" customHeight="1" x14ac:dyDescent="0.25">
      <c r="A20" s="92" t="s">
        <v>124</v>
      </c>
      <c r="B20" s="103" t="s">
        <v>135</v>
      </c>
    </row>
    <row r="21" spans="1:2" ht="20.100000000000001" customHeight="1" x14ac:dyDescent="0.25">
      <c r="A21" s="2" t="s">
        <v>126</v>
      </c>
      <c r="B21" s="103" t="s">
        <v>135</v>
      </c>
    </row>
    <row r="22" spans="1:2" ht="20.100000000000001" customHeight="1" x14ac:dyDescent="0.25">
      <c r="A22" s="92" t="s">
        <v>125</v>
      </c>
      <c r="B22" s="103" t="s">
        <v>135</v>
      </c>
    </row>
    <row r="23" spans="1:2" ht="20.100000000000001" customHeight="1" x14ac:dyDescent="0.25">
      <c r="A23" s="92" t="s">
        <v>127</v>
      </c>
      <c r="B23" s="103" t="s">
        <v>135</v>
      </c>
    </row>
    <row r="24" spans="1:2" ht="20.100000000000001" customHeight="1" x14ac:dyDescent="0.25">
      <c r="A24" s="92" t="s">
        <v>128</v>
      </c>
      <c r="B24" s="103" t="s">
        <v>135</v>
      </c>
    </row>
    <row r="25" spans="1:2" ht="20.100000000000001" customHeight="1" x14ac:dyDescent="0.25">
      <c r="A25" s="92" t="s">
        <v>129</v>
      </c>
      <c r="B25" s="103" t="s">
        <v>135</v>
      </c>
    </row>
    <row r="26" spans="1:2" ht="20.100000000000001" customHeight="1" x14ac:dyDescent="0.25">
      <c r="A26" s="92" t="s">
        <v>130</v>
      </c>
      <c r="B26" s="103" t="s">
        <v>135</v>
      </c>
    </row>
    <row r="27" spans="1:2" ht="20.100000000000001" customHeight="1" x14ac:dyDescent="0.25">
      <c r="A27" s="92" t="s">
        <v>131</v>
      </c>
      <c r="B27" s="103" t="s">
        <v>135</v>
      </c>
    </row>
    <row r="28" spans="1:2" ht="20.100000000000001" customHeight="1" x14ac:dyDescent="0.25">
      <c r="A28" s="92" t="s">
        <v>132</v>
      </c>
      <c r="B28" s="103" t="s">
        <v>135</v>
      </c>
    </row>
    <row r="29" spans="1:2" ht="20.100000000000001" customHeight="1" x14ac:dyDescent="0.25">
      <c r="A29" s="92" t="s">
        <v>133</v>
      </c>
      <c r="B29" s="103" t="s">
        <v>135</v>
      </c>
    </row>
    <row r="30" spans="1:2" ht="20.100000000000001" customHeight="1" x14ac:dyDescent="0.25">
      <c r="A30" s="92" t="s">
        <v>134</v>
      </c>
      <c r="B30" s="103" t="s">
        <v>135</v>
      </c>
    </row>
    <row r="31" spans="1:2" ht="20.100000000000001" customHeight="1" x14ac:dyDescent="0.25">
      <c r="A31" s="2" t="s">
        <v>137</v>
      </c>
      <c r="B31" s="103" t="s">
        <v>135</v>
      </c>
    </row>
    <row r="32" spans="1:2" ht="20.100000000000001" customHeight="1" x14ac:dyDescent="0.25">
      <c r="A32" s="92" t="s">
        <v>136</v>
      </c>
      <c r="B32" s="103" t="s">
        <v>135</v>
      </c>
    </row>
    <row r="33" spans="1:2" ht="20.100000000000001" customHeight="1" x14ac:dyDescent="0.25">
      <c r="A33" s="100" t="s">
        <v>102</v>
      </c>
      <c r="B33" s="100"/>
    </row>
    <row r="34" spans="1:2" ht="20.100000000000001" customHeight="1" x14ac:dyDescent="0.25">
      <c r="A34" s="92" t="s">
        <v>111</v>
      </c>
      <c r="B34" s="103" t="s">
        <v>119</v>
      </c>
    </row>
    <row r="35" spans="1:2" ht="20.100000000000001" customHeight="1" x14ac:dyDescent="0.25">
      <c r="A35" s="92" t="s">
        <v>112</v>
      </c>
      <c r="B35" s="103" t="s">
        <v>119</v>
      </c>
    </row>
    <row r="36" spans="1:2" ht="20.100000000000001" customHeight="1" x14ac:dyDescent="0.25">
      <c r="A36" s="93" t="s">
        <v>113</v>
      </c>
      <c r="B36" s="103" t="s">
        <v>119</v>
      </c>
    </row>
    <row r="37" spans="1:2" ht="20.100000000000001" customHeight="1" x14ac:dyDescent="0.25">
      <c r="A37" s="100" t="s">
        <v>103</v>
      </c>
      <c r="B37" s="100"/>
    </row>
    <row r="38" spans="1:2" ht="20.100000000000001" customHeight="1" x14ac:dyDescent="0.25">
      <c r="A38" s="92">
        <v>2019</v>
      </c>
      <c r="B38" s="103" t="s">
        <v>119</v>
      </c>
    </row>
    <row r="39" spans="1:2" ht="20.100000000000001" customHeight="1" x14ac:dyDescent="0.25">
      <c r="A39" s="92">
        <v>2017</v>
      </c>
      <c r="B39" s="103" t="s">
        <v>119</v>
      </c>
    </row>
    <row r="40" spans="1:2" ht="20.100000000000001" customHeight="1" x14ac:dyDescent="0.25">
      <c r="A40" s="92" t="s">
        <v>114</v>
      </c>
      <c r="B40" s="103" t="s">
        <v>119</v>
      </c>
    </row>
    <row r="41" spans="1:2" ht="20.100000000000001" customHeight="1" x14ac:dyDescent="0.25">
      <c r="A41" s="100" t="s">
        <v>115</v>
      </c>
      <c r="B41" s="100"/>
    </row>
    <row r="42" spans="1:2" ht="20.100000000000001" customHeight="1" x14ac:dyDescent="0.25">
      <c r="A42" s="92" t="s">
        <v>29</v>
      </c>
      <c r="B42" s="103" t="s">
        <v>119</v>
      </c>
    </row>
    <row r="43" spans="1:2" ht="20.100000000000001" customHeight="1" x14ac:dyDescent="0.25">
      <c r="A43" s="92" t="s">
        <v>116</v>
      </c>
      <c r="B43" s="103" t="s">
        <v>119</v>
      </c>
    </row>
    <row r="44" spans="1:2" ht="20.100000000000001" customHeight="1" x14ac:dyDescent="0.25">
      <c r="A44" s="100" t="s">
        <v>104</v>
      </c>
      <c r="B44" s="100"/>
    </row>
    <row r="45" spans="1:2" ht="20.100000000000001" customHeight="1" x14ac:dyDescent="0.25">
      <c r="A45" s="92" t="s">
        <v>29</v>
      </c>
      <c r="B45" s="103"/>
    </row>
    <row r="46" spans="1:2" ht="20.100000000000001" customHeight="1" x14ac:dyDescent="0.25">
      <c r="A46" s="92" t="s">
        <v>116</v>
      </c>
      <c r="B46" s="103" t="s">
        <v>119</v>
      </c>
    </row>
  </sheetData>
  <mergeCells count="6">
    <mergeCell ref="A9:B9"/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Deuda por Objeto</vt:lpstr>
      <vt:lpstr>Deuda Por suplidor </vt:lpstr>
      <vt:lpstr>DEUDA RESUMEN </vt:lpstr>
      <vt:lpstr>GASTOS X MES FR</vt:lpstr>
      <vt:lpstr>RESUMEN ARS </vt:lpstr>
      <vt:lpstr>INGRESOS X FACT</vt:lpstr>
      <vt:lpstr>No tocar Uso liby </vt:lpstr>
      <vt:lpstr>'DEUDA RESUMEN '!Área_de_impresión</vt:lpstr>
      <vt:lpstr>'GASTOS X MES FR'!Área_de_impresión</vt:lpstr>
      <vt:lpstr>'RESUMEN ARS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Méndez</dc:creator>
  <cp:lastModifiedBy>user</cp:lastModifiedBy>
  <cp:lastPrinted>2025-06-04T18:17:52Z</cp:lastPrinted>
  <dcterms:created xsi:type="dcterms:W3CDTF">2019-01-22T14:49:02Z</dcterms:created>
  <dcterms:modified xsi:type="dcterms:W3CDTF">2025-11-04T18:03:38Z</dcterms:modified>
</cp:coreProperties>
</file>