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 activeTab="1"/>
  </bookViews>
  <sheets>
    <sheet name="P1 Presupuesto Aprobado" sheetId="1" r:id="rId1"/>
    <sheet name="P2 Presupuesto Aprobado-Ejec " sheetId="2" r:id="rId2"/>
    <sheet name="P2 Presupuesto Aprobado-Eje (2" sheetId="4" r:id="rId3"/>
    <sheet name="P3 Ejecucion " sheetId="3" state="hidden" r:id="rId4"/>
  </sheets>
  <definedNames>
    <definedName name="_xlnm.Print_Area" localSheetId="2">'P2 Presupuesto Aprobado-Eje (2'!$A$1:$O$24</definedName>
    <definedName name="_xlnm.Print_Area" localSheetId="1">'P2 Presupuesto Aprobado-Ejec '!$A$1:$P$96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2" l="1"/>
  <c r="M74" i="2"/>
  <c r="D11" i="2" l="1"/>
  <c r="E11" i="2"/>
  <c r="J11" i="2"/>
  <c r="L11" i="2"/>
  <c r="M11" i="2"/>
  <c r="N11" i="2"/>
  <c r="O11" i="2"/>
  <c r="F12" i="2"/>
  <c r="F11" i="2" s="1"/>
  <c r="G12" i="2"/>
  <c r="G11" i="2" s="1"/>
  <c r="H12" i="2"/>
  <c r="H11" i="2" s="1"/>
  <c r="I12" i="2"/>
  <c r="I11" i="2" s="1"/>
  <c r="K12" i="2"/>
  <c r="K11" i="2" s="1"/>
  <c r="P13" i="2"/>
  <c r="P14" i="2"/>
  <c r="P15" i="2"/>
  <c r="P16" i="2"/>
  <c r="D17" i="2"/>
  <c r="E17" i="2"/>
  <c r="I17" i="2"/>
  <c r="N17" i="2"/>
  <c r="O17" i="2"/>
  <c r="P18" i="2"/>
  <c r="P19" i="2"/>
  <c r="G20" i="2"/>
  <c r="P21" i="2"/>
  <c r="F22" i="2"/>
  <c r="P23" i="2"/>
  <c r="H24" i="2"/>
  <c r="J24" i="2"/>
  <c r="J17" i="2" s="1"/>
  <c r="K24" i="2"/>
  <c r="L24" i="2"/>
  <c r="M24" i="2"/>
  <c r="H25" i="2"/>
  <c r="F26" i="2"/>
  <c r="G26" i="2"/>
  <c r="K26" i="2"/>
  <c r="L26" i="2"/>
  <c r="M26" i="2"/>
  <c r="D27" i="2"/>
  <c r="N27" i="2"/>
  <c r="O27" i="2"/>
  <c r="G28" i="2"/>
  <c r="H28" i="2"/>
  <c r="H29" i="2"/>
  <c r="P29" i="2" s="1"/>
  <c r="E30" i="2"/>
  <c r="F30" i="2"/>
  <c r="G30" i="2"/>
  <c r="H30" i="2"/>
  <c r="I30" i="2"/>
  <c r="M30" i="2"/>
  <c r="G31" i="2"/>
  <c r="H31" i="2"/>
  <c r="H32" i="2"/>
  <c r="P32" i="2" s="1"/>
  <c r="H33" i="2"/>
  <c r="J33" i="2"/>
  <c r="E34" i="2"/>
  <c r="F34" i="2"/>
  <c r="G34" i="2"/>
  <c r="H34" i="2"/>
  <c r="I34" i="2"/>
  <c r="J34" i="2"/>
  <c r="K34" i="2"/>
  <c r="K27" i="2" s="1"/>
  <c r="L34" i="2"/>
  <c r="L27" i="2" s="1"/>
  <c r="M34" i="2"/>
  <c r="P35" i="2"/>
  <c r="F36" i="2"/>
  <c r="G36" i="2"/>
  <c r="H36" i="2"/>
  <c r="I36" i="2"/>
  <c r="J36" i="2"/>
  <c r="D37" i="2"/>
  <c r="E37" i="2"/>
  <c r="F37" i="2"/>
  <c r="G37" i="2"/>
  <c r="H37" i="2"/>
  <c r="I37" i="2"/>
  <c r="J37" i="2"/>
  <c r="K37" i="2"/>
  <c r="L37" i="2"/>
  <c r="M37" i="2"/>
  <c r="N37" i="2"/>
  <c r="O37" i="2"/>
  <c r="P38" i="2"/>
  <c r="P39" i="2"/>
  <c r="P40" i="2"/>
  <c r="P41" i="2"/>
  <c r="P42" i="2"/>
  <c r="P43" i="2"/>
  <c r="P44" i="2"/>
  <c r="P45" i="2"/>
  <c r="D46" i="2"/>
  <c r="E46" i="2"/>
  <c r="F46" i="2"/>
  <c r="G46" i="2"/>
  <c r="H46" i="2"/>
  <c r="I46" i="2"/>
  <c r="J46" i="2"/>
  <c r="K46" i="2"/>
  <c r="L46" i="2"/>
  <c r="M46" i="2"/>
  <c r="N46" i="2"/>
  <c r="O46" i="2"/>
  <c r="P47" i="2"/>
  <c r="P48" i="2"/>
  <c r="P49" i="2"/>
  <c r="P50" i="2"/>
  <c r="P51" i="2"/>
  <c r="P52" i="2"/>
  <c r="D53" i="2"/>
  <c r="E53" i="2"/>
  <c r="F53" i="2"/>
  <c r="G53" i="2"/>
  <c r="I53" i="2"/>
  <c r="K53" i="2"/>
  <c r="N53" i="2"/>
  <c r="O53" i="2"/>
  <c r="H54" i="2"/>
  <c r="J54" i="2"/>
  <c r="J53" i="2" s="1"/>
  <c r="L54" i="2"/>
  <c r="L53" i="2" s="1"/>
  <c r="M54" i="2"/>
  <c r="M55" i="2"/>
  <c r="P55" i="2" s="1"/>
  <c r="H56" i="2"/>
  <c r="M56" i="2"/>
  <c r="P57" i="2"/>
  <c r="H58" i="2"/>
  <c r="P58" i="2" s="1"/>
  <c r="P59" i="2"/>
  <c r="P60" i="2"/>
  <c r="P61" i="2"/>
  <c r="P62" i="2"/>
  <c r="D63" i="2"/>
  <c r="E63" i="2"/>
  <c r="F63" i="2"/>
  <c r="G63" i="2"/>
  <c r="H63" i="2"/>
  <c r="I63" i="2"/>
  <c r="J63" i="2"/>
  <c r="K63" i="2"/>
  <c r="L63" i="2"/>
  <c r="M63" i="2"/>
  <c r="N63" i="2"/>
  <c r="O63" i="2"/>
  <c r="P64" i="2"/>
  <c r="P65" i="2"/>
  <c r="P66" i="2"/>
  <c r="P67" i="2"/>
  <c r="D68" i="2"/>
  <c r="E68" i="2"/>
  <c r="F68" i="2"/>
  <c r="G68" i="2"/>
  <c r="H68" i="2"/>
  <c r="I68" i="2"/>
  <c r="J68" i="2"/>
  <c r="K68" i="2"/>
  <c r="M68" i="2"/>
  <c r="N68" i="2"/>
  <c r="O68" i="2"/>
  <c r="P69" i="2"/>
  <c r="P70" i="2"/>
  <c r="P71" i="2"/>
  <c r="P72" i="2"/>
  <c r="P73" i="2"/>
  <c r="L74" i="2"/>
  <c r="L68" i="2" s="1"/>
  <c r="P75" i="2"/>
  <c r="D76" i="2"/>
  <c r="E76" i="2"/>
  <c r="F76" i="2"/>
  <c r="G76" i="2"/>
  <c r="H76" i="2"/>
  <c r="I76" i="2"/>
  <c r="J76" i="2"/>
  <c r="K76" i="2"/>
  <c r="L76" i="2"/>
  <c r="M76" i="2"/>
  <c r="N76" i="2"/>
  <c r="O76" i="2"/>
  <c r="P77" i="2"/>
  <c r="P78" i="2"/>
  <c r="D79" i="2"/>
  <c r="E79" i="2"/>
  <c r="F79" i="2"/>
  <c r="G79" i="2"/>
  <c r="H79" i="2"/>
  <c r="I79" i="2"/>
  <c r="J79" i="2"/>
  <c r="K79" i="2"/>
  <c r="L79" i="2"/>
  <c r="M79" i="2"/>
  <c r="N79" i="2"/>
  <c r="O79" i="2"/>
  <c r="P80" i="2"/>
  <c r="P81" i="2"/>
  <c r="D82" i="2"/>
  <c r="E82" i="2"/>
  <c r="F82" i="2"/>
  <c r="G82" i="2"/>
  <c r="H82" i="2"/>
  <c r="I82" i="2"/>
  <c r="J82" i="2"/>
  <c r="K82" i="2"/>
  <c r="L82" i="2"/>
  <c r="M82" i="2"/>
  <c r="N82" i="2"/>
  <c r="O82" i="2"/>
  <c r="P83" i="2"/>
  <c r="P82" i="2" s="1"/>
  <c r="O84" i="2" l="1"/>
  <c r="L17" i="2"/>
  <c r="L10" i="2" s="1"/>
  <c r="P26" i="2"/>
  <c r="M17" i="2"/>
  <c r="D84" i="2"/>
  <c r="P74" i="2"/>
  <c r="E27" i="2"/>
  <c r="E10" i="2" s="1"/>
  <c r="P12" i="2"/>
  <c r="P11" i="2" s="1"/>
  <c r="P24" i="2"/>
  <c r="N84" i="2"/>
  <c r="P36" i="2"/>
  <c r="G27" i="2"/>
  <c r="G84" i="2" s="1"/>
  <c r="P33" i="2"/>
  <c r="M27" i="2"/>
  <c r="P76" i="2"/>
  <c r="P63" i="2"/>
  <c r="P56" i="2"/>
  <c r="P31" i="2"/>
  <c r="H17" i="2"/>
  <c r="K17" i="2"/>
  <c r="K84" i="2" s="1"/>
  <c r="F17" i="2"/>
  <c r="O10" i="2"/>
  <c r="P68" i="2"/>
  <c r="P37" i="2"/>
  <c r="J27" i="2"/>
  <c r="J84" i="2" s="1"/>
  <c r="H27" i="2"/>
  <c r="N10" i="2"/>
  <c r="F27" i="2"/>
  <c r="G17" i="2"/>
  <c r="G10" i="2" s="1"/>
  <c r="P79" i="2"/>
  <c r="H53" i="2"/>
  <c r="E84" i="2"/>
  <c r="M53" i="2"/>
  <c r="P46" i="2"/>
  <c r="P34" i="2"/>
  <c r="I27" i="2"/>
  <c r="I84" i="2" s="1"/>
  <c r="D10" i="2"/>
  <c r="J10" i="2"/>
  <c r="K10" i="2"/>
  <c r="P30" i="2"/>
  <c r="P25" i="2"/>
  <c r="P20" i="2"/>
  <c r="P17" i="2" s="1"/>
  <c r="P54" i="2"/>
  <c r="P28" i="2"/>
  <c r="P22" i="2"/>
  <c r="B53" i="1"/>
  <c r="B55" i="1"/>
  <c r="B29" i="1"/>
  <c r="B21" i="1"/>
  <c r="B11" i="1"/>
  <c r="L84" i="2" l="1"/>
  <c r="M10" i="2"/>
  <c r="P53" i="2"/>
  <c r="M84" i="2"/>
  <c r="F10" i="2"/>
  <c r="F84" i="2"/>
  <c r="H10" i="2"/>
  <c r="H84" i="2"/>
  <c r="I10" i="2"/>
  <c r="P27" i="2"/>
  <c r="B17" i="2"/>
  <c r="P84" i="2" l="1"/>
  <c r="P10" i="2"/>
  <c r="B12" i="4"/>
  <c r="N11" i="4"/>
  <c r="M11" i="4"/>
  <c r="L11" i="4"/>
  <c r="Q10" i="4" s="1"/>
  <c r="K11" i="4"/>
  <c r="J11" i="4"/>
  <c r="I11" i="4"/>
  <c r="H11" i="4"/>
  <c r="G11" i="4"/>
  <c r="F11" i="4"/>
  <c r="E11" i="4"/>
  <c r="D11" i="4"/>
  <c r="C11" i="4"/>
  <c r="B11" i="4" l="1"/>
  <c r="O11" i="4"/>
  <c r="B81" i="1"/>
  <c r="B78" i="1"/>
  <c r="B75" i="1"/>
  <c r="B67" i="1"/>
  <c r="B62" i="1"/>
  <c r="B52" i="1"/>
  <c r="B45" i="1"/>
  <c r="B36" i="1"/>
  <c r="B26" i="1"/>
  <c r="B16" i="1"/>
  <c r="B10" i="1"/>
  <c r="B83" i="1" l="1"/>
  <c r="B9" i="1"/>
  <c r="B82" i="2" l="1"/>
  <c r="B79" i="2"/>
  <c r="B76" i="2"/>
  <c r="B68" i="2"/>
  <c r="B6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C82" i="2"/>
  <c r="C79" i="2"/>
  <c r="C76" i="2"/>
  <c r="C68" i="2"/>
  <c r="C63" i="2"/>
  <c r="C53" i="2"/>
  <c r="C46" i="2"/>
  <c r="C37" i="2"/>
  <c r="C27" i="2"/>
  <c r="C17" i="2"/>
  <c r="C11" i="2"/>
  <c r="B46" i="2" l="1"/>
  <c r="B37" i="2"/>
  <c r="B27" i="2"/>
  <c r="B11" i="2"/>
  <c r="B53" i="2"/>
  <c r="C84" i="2"/>
  <c r="C10" i="2"/>
  <c r="B10" i="2" l="1"/>
  <c r="B84" i="2"/>
</calcChain>
</file>

<file path=xl/sharedStrings.xml><?xml version="1.0" encoding="utf-8"?>
<sst xmlns="http://schemas.openxmlformats.org/spreadsheetml/2006/main" count="320" uniqueCount="118">
  <si>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</si>
  <si>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</si>
  <si>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</si>
  <si>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</si>
  <si>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</si>
  <si>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</si>
  <si>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</si>
  <si>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</si>
  <si>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</si>
  <si>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</si>
  <si>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</si>
  <si>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</si>
  <si>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</si>
  <si>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</si>
  <si>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</si>
  <si>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</si>
  <si>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</si>
  <si>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</si>
  <si>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</si>
  <si>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</si>
  <si>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</si>
  <si>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</si>
  <si>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</si>
  <si>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</si>
  <si>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</si>
  <si>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</si>
  <si>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</si>
  <si>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</si>
  <si>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</si>
  <si>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</si>
  <si>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</si>
  <si>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</si>
  <si>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</si>
  <si>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</si>
  <si>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</si>
  <si>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</si>
  <si>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</si>
  <si>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</si>
  <si>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</si>
  <si>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</si>
  <si>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</si>
  <si>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</si>
  <si>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</si>
  <si>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</si>
  <si>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</si>
  <si>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</si>
  <si>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</si>
  <si>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</si>
  <si>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</si>
  <si>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</si>
  <si>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</si>
  <si>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</si>
  <si>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</si>
  <si>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</si>
  <si>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</si>
  <si>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</si>
  <si>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</si>
  <si>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</si>
  <si>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</si>
  <si>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</si>
  <si>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</si>
  <si>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</si>
  <si>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</si>
  <si>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</si>
  <si>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</si>
  <si>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</si>
  <si>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</si>
  <si>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</si>
  <si>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</si>
  <si>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</si>
  <si>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</si>
  <si>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</si>
  <si>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</si>
  <si>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</si>
  <si>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</si>
  <si>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</si>
  <si>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</si>
  <si>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</si>
  <si>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</si>
  <si>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</si>
  <si>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</si>
  <si>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</si>
  <si>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</si>
  <si>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</si>
  <si>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</si>
  <si>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</si>
  <si>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</si>
  <si>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</si>
  <si>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</si>
  <si>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</si>
  <si>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</si>
  <si>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</si>
  <si>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</si>
  <si>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</si>
  <si>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</si>
  <si>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</si>
  <si>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</si>
  <si>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</si>
  <si>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</si>
  <si>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</si>
  <si>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</si>
  <si>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</si>
  <si>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</si>
  <si>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</si>
  <si>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</si>
  <si>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</si>
  <si>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</si>
  <si>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</si>
  <si>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</si>
  <si>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</si>
  <si>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HOSPITAL PROVINCIAL INMACULADA CONCEPCION</t>
  </si>
  <si>
    <t>AGOSTO</t>
  </si>
  <si>
    <t>SEPTIEMBRE</t>
  </si>
  <si>
    <t>OCTUBRE</t>
  </si>
  <si>
    <t>NOVIEMBRE</t>
  </si>
  <si>
    <t>DICIEMBRE</t>
  </si>
  <si>
    <t>Analista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</si>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</sst>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3" fillId="2" borderId="0" xfId="0" applyNumberFormat="1" applyFont="1" applyFill="1"/>
    <xf numFmtId="0" fontId="3" fillId="0" borderId="13" xfId="0" applyFont="1" applyBorder="1" applyAlignment="1">
      <alignment horizontal="left"/>
    </xf>
    <xf numFmtId="165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left" indent="2"/>
    </xf>
    <xf numFmtId="165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5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" fontId="3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164" fontId="3" fillId="0" borderId="13" xfId="0" applyNumberFormat="1" applyFont="1" applyBorder="1"/>
    <xf numFmtId="4" fontId="13" fillId="6" borderId="17" xfId="0" applyNumberFormat="1" applyFont="1" applyFill="1" applyBorder="1"/>
    <xf numFmtId="164" fontId="3" fillId="2" borderId="0" xfId="0" applyNumberFormat="1" applyFont="1" applyFill="1"/>
    <xf numFmtId="165" fontId="3" fillId="0" borderId="18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1028700</xdr:colOff>
      <xdr:row>4</xdr:row>
      <xdr:rowOff>1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showGridLines="0" topLeftCell="A43" workbookViewId="0">
      <selection activeCell="A4" sqref="A4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1" spans="1:16" ht="28.5" customHeight="1" x14ac:dyDescent="0.25">
      <c r="A1" s="29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1" customHeight="1" x14ac:dyDescent="0.25">
      <c r="A2" s="31" t="s">
        <v>103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x14ac:dyDescent="0.25">
      <c r="A3" s="33" t="s">
        <v>117</v>
      </c>
      <c r="B3" s="37"/>
      <c r="C3" s="37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customHeight="1" x14ac:dyDescent="0.25">
      <c r="A4" s="35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.75" customHeight="1" x14ac:dyDescent="0.25">
      <c r="A5" s="36" t="s">
        <v>79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7" spans="1:16" ht="15" customHeight="1" x14ac:dyDescent="0.25">
      <c r="A7" s="54" t="s">
        <v>66</v>
      </c>
      <c r="B7" s="55" t="s">
        <v>96</v>
      </c>
      <c r="C7" s="55" t="s">
        <v>95</v>
      </c>
      <c r="D7" s="6"/>
    </row>
    <row r="8" spans="1:16" ht="23.25" customHeight="1" x14ac:dyDescent="0.25">
      <c r="A8" s="54"/>
      <c r="B8" s="56"/>
      <c r="C8" s="56"/>
      <c r="D8" s="6"/>
    </row>
    <row r="9" spans="1:16" x14ac:dyDescent="0.25">
      <c r="A9" s="20" t="s">
        <v>0</v>
      </c>
      <c r="B9" s="38">
        <f>+B10+B16+B26+B36+B45+B52+B62+B67+B75+B78+B81</f>
        <v>61072071.540000007</v>
      </c>
      <c r="C9" s="21"/>
      <c r="D9" s="6"/>
    </row>
    <row r="10" spans="1:16" x14ac:dyDescent="0.25">
      <c r="A10" s="26" t="s">
        <v>1</v>
      </c>
      <c r="B10" s="39">
        <f>SUM(B11:B15)</f>
        <v>7114467.6100000003</v>
      </c>
      <c r="C10" s="27"/>
      <c r="D10" s="6"/>
    </row>
    <row r="11" spans="1:16" x14ac:dyDescent="0.25">
      <c r="A11" s="24" t="s">
        <v>2</v>
      </c>
      <c r="B11" s="40">
        <f>348000+4607207.15+2028000+29000+102260.46</f>
        <v>7114467.6100000003</v>
      </c>
      <c r="C11" s="25"/>
      <c r="D11" s="6"/>
    </row>
    <row r="12" spans="1:16" x14ac:dyDescent="0.25">
      <c r="A12" s="24" t="s">
        <v>3</v>
      </c>
      <c r="B12" s="40">
        <v>0</v>
      </c>
      <c r="C12" s="25"/>
      <c r="D12" s="6"/>
    </row>
    <row r="13" spans="1:16" x14ac:dyDescent="0.25">
      <c r="A13" s="24" t="s">
        <v>4</v>
      </c>
      <c r="B13" s="40"/>
      <c r="C13" s="25"/>
      <c r="D13" s="6"/>
    </row>
    <row r="14" spans="1:16" x14ac:dyDescent="0.25">
      <c r="A14" s="24" t="s">
        <v>5</v>
      </c>
      <c r="B14" s="40"/>
      <c r="C14" s="25"/>
      <c r="D14" s="6"/>
    </row>
    <row r="15" spans="1:16" x14ac:dyDescent="0.25">
      <c r="A15" s="24" t="s">
        <v>6</v>
      </c>
      <c r="B15" s="40">
        <v>0</v>
      </c>
      <c r="C15" s="25"/>
      <c r="D15" s="6"/>
    </row>
    <row r="16" spans="1:16" x14ac:dyDescent="0.25">
      <c r="A16" s="26" t="s">
        <v>7</v>
      </c>
      <c r="B16" s="39">
        <f>SUM(B17:B25)</f>
        <v>6273607.4199999999</v>
      </c>
      <c r="C16" s="27"/>
      <c r="D16" s="6"/>
    </row>
    <row r="17" spans="1:4" x14ac:dyDescent="0.25">
      <c r="A17" s="24" t="s">
        <v>8</v>
      </c>
      <c r="B17" s="40">
        <v>96000</v>
      </c>
      <c r="C17" s="25"/>
      <c r="D17" s="6"/>
    </row>
    <row r="18" spans="1:4" x14ac:dyDescent="0.25">
      <c r="A18" s="24" t="s">
        <v>9</v>
      </c>
      <c r="B18" s="40">
        <v>161917.26999999999</v>
      </c>
      <c r="C18" s="25"/>
      <c r="D18" s="6"/>
    </row>
    <row r="19" spans="1:4" x14ac:dyDescent="0.25">
      <c r="A19" s="24" t="s">
        <v>10</v>
      </c>
      <c r="B19" s="40">
        <v>165650</v>
      </c>
      <c r="C19" s="25"/>
      <c r="D19" s="6"/>
    </row>
    <row r="20" spans="1:4" x14ac:dyDescent="0.25">
      <c r="A20" s="24" t="s">
        <v>11</v>
      </c>
      <c r="B20" s="40">
        <v>135889.5</v>
      </c>
      <c r="C20" s="25"/>
      <c r="D20" s="6"/>
    </row>
    <row r="21" spans="1:4" x14ac:dyDescent="0.25">
      <c r="A21" s="24" t="s">
        <v>12</v>
      </c>
      <c r="B21" s="40">
        <f>54058.56+775761.11+485210.56+11444.77+64376.83</f>
        <v>1390851.83</v>
      </c>
      <c r="C21" s="25"/>
    </row>
    <row r="22" spans="1:4" x14ac:dyDescent="0.25">
      <c r="A22" s="24" t="s">
        <v>13</v>
      </c>
      <c r="B22" s="40"/>
      <c r="C22" s="25"/>
    </row>
    <row r="23" spans="1:4" x14ac:dyDescent="0.25">
      <c r="A23" s="24" t="s">
        <v>14</v>
      </c>
      <c r="B23" s="40">
        <v>3672337.55</v>
      </c>
      <c r="C23" s="25"/>
    </row>
    <row r="24" spans="1:4" x14ac:dyDescent="0.25">
      <c r="A24" s="24" t="s">
        <v>15</v>
      </c>
      <c r="B24" s="40">
        <v>650961.27</v>
      </c>
      <c r="C24" s="25"/>
    </row>
    <row r="25" spans="1:4" x14ac:dyDescent="0.25">
      <c r="A25" s="24" t="s">
        <v>16</v>
      </c>
      <c r="B25" s="40"/>
      <c r="C25" s="25"/>
    </row>
    <row r="26" spans="1:4" x14ac:dyDescent="0.25">
      <c r="A26" s="26" t="s">
        <v>17</v>
      </c>
      <c r="B26" s="39">
        <f>SUM(B27:B35)</f>
        <v>44096076.950000003</v>
      </c>
      <c r="C26" s="27"/>
    </row>
    <row r="27" spans="1:4" x14ac:dyDescent="0.25">
      <c r="A27" s="24" t="s">
        <v>18</v>
      </c>
      <c r="B27" s="40">
        <v>2849516.4</v>
      </c>
      <c r="C27" s="25"/>
    </row>
    <row r="28" spans="1:4" x14ac:dyDescent="0.25">
      <c r="A28" s="24" t="s">
        <v>19</v>
      </c>
      <c r="B28" s="40">
        <v>0</v>
      </c>
      <c r="C28" s="25"/>
    </row>
    <row r="29" spans="1:4" x14ac:dyDescent="0.25">
      <c r="A29" s="24" t="s">
        <v>20</v>
      </c>
      <c r="B29" s="40">
        <f>319059.92+121571.16</f>
        <v>440631.07999999996</v>
      </c>
      <c r="C29" s="25"/>
    </row>
    <row r="30" spans="1:4" x14ac:dyDescent="0.25">
      <c r="A30" s="24" t="s">
        <v>21</v>
      </c>
      <c r="B30" s="40">
        <v>10545147.74</v>
      </c>
      <c r="C30" s="25"/>
    </row>
    <row r="31" spans="1:4" x14ac:dyDescent="0.25">
      <c r="A31" s="24" t="s">
        <v>22</v>
      </c>
      <c r="B31" s="40">
        <v>402043.62</v>
      </c>
      <c r="C31" s="25"/>
    </row>
    <row r="32" spans="1:4" x14ac:dyDescent="0.25">
      <c r="A32" s="24" t="s">
        <v>23</v>
      </c>
      <c r="B32" s="40">
        <v>581101.05000000005</v>
      </c>
      <c r="C32" s="25"/>
    </row>
    <row r="33" spans="1:3" x14ac:dyDescent="0.25">
      <c r="A33" s="24" t="s">
        <v>24</v>
      </c>
      <c r="B33" s="40">
        <v>13263288.74</v>
      </c>
      <c r="C33" s="25"/>
    </row>
    <row r="34" spans="1:3" x14ac:dyDescent="0.25">
      <c r="A34" s="24" t="s">
        <v>25</v>
      </c>
      <c r="B34" s="40"/>
      <c r="C34" s="25"/>
    </row>
    <row r="35" spans="1:3" x14ac:dyDescent="0.25">
      <c r="A35" s="24" t="s">
        <v>26</v>
      </c>
      <c r="B35" s="40">
        <v>16014348.32</v>
      </c>
      <c r="C35" s="25"/>
    </row>
    <row r="36" spans="1:3" x14ac:dyDescent="0.25">
      <c r="A36" s="26" t="s">
        <v>27</v>
      </c>
      <c r="B36" s="39">
        <f>SUM(B37:B44)</f>
        <v>0</v>
      </c>
      <c r="C36" s="27"/>
    </row>
    <row r="37" spans="1:3" x14ac:dyDescent="0.25">
      <c r="A37" s="24" t="s">
        <v>28</v>
      </c>
      <c r="B37" s="40"/>
      <c r="C37" s="25"/>
    </row>
    <row r="38" spans="1:3" x14ac:dyDescent="0.25">
      <c r="A38" s="24" t="s">
        <v>29</v>
      </c>
      <c r="B38" s="40"/>
      <c r="C38" s="25"/>
    </row>
    <row r="39" spans="1:3" x14ac:dyDescent="0.25">
      <c r="A39" s="24" t="s">
        <v>30</v>
      </c>
      <c r="B39" s="40"/>
      <c r="C39" s="25"/>
    </row>
    <row r="40" spans="1:3" x14ac:dyDescent="0.25">
      <c r="A40" s="24" t="s">
        <v>31</v>
      </c>
      <c r="B40" s="40"/>
      <c r="C40" s="25"/>
    </row>
    <row r="41" spans="1:3" x14ac:dyDescent="0.25">
      <c r="A41" s="24" t="s">
        <v>32</v>
      </c>
      <c r="B41" s="40"/>
      <c r="C41" s="25"/>
    </row>
    <row r="42" spans="1:3" x14ac:dyDescent="0.25">
      <c r="A42" s="24" t="s">
        <v>33</v>
      </c>
      <c r="B42" s="40"/>
      <c r="C42" s="25"/>
    </row>
    <row r="43" spans="1:3" x14ac:dyDescent="0.25">
      <c r="A43" s="24" t="s">
        <v>34</v>
      </c>
      <c r="B43" s="40"/>
      <c r="C43" s="25"/>
    </row>
    <row r="44" spans="1:3" x14ac:dyDescent="0.25">
      <c r="A44" s="24" t="s">
        <v>35</v>
      </c>
      <c r="B44" s="40"/>
      <c r="C44" s="25"/>
    </row>
    <row r="45" spans="1:3" x14ac:dyDescent="0.25">
      <c r="A45" s="26" t="s">
        <v>36</v>
      </c>
      <c r="B45" s="39">
        <f>SUM(B46:B51)</f>
        <v>0</v>
      </c>
      <c r="C45" s="27"/>
    </row>
    <row r="46" spans="1:3" x14ac:dyDescent="0.25">
      <c r="A46" s="24" t="s">
        <v>37</v>
      </c>
      <c r="B46" s="40"/>
      <c r="C46" s="25"/>
    </row>
    <row r="47" spans="1:3" x14ac:dyDescent="0.25">
      <c r="A47" s="24" t="s">
        <v>38</v>
      </c>
      <c r="B47" s="40"/>
      <c r="C47" s="25"/>
    </row>
    <row r="48" spans="1:3" x14ac:dyDescent="0.25">
      <c r="A48" s="24" t="s">
        <v>39</v>
      </c>
      <c r="B48" s="40"/>
      <c r="C48" s="25"/>
    </row>
    <row r="49" spans="1:3" x14ac:dyDescent="0.25">
      <c r="A49" s="24" t="s">
        <v>40</v>
      </c>
      <c r="B49" s="40"/>
      <c r="C49" s="25"/>
    </row>
    <row r="50" spans="1:3" x14ac:dyDescent="0.25">
      <c r="A50" s="24" t="s">
        <v>41</v>
      </c>
      <c r="B50" s="40"/>
      <c r="C50" s="25"/>
    </row>
    <row r="51" spans="1:3" x14ac:dyDescent="0.25">
      <c r="A51" s="24" t="s">
        <v>42</v>
      </c>
      <c r="B51" s="40"/>
      <c r="C51" s="25"/>
    </row>
    <row r="52" spans="1:3" x14ac:dyDescent="0.25">
      <c r="A52" s="26" t="s">
        <v>43</v>
      </c>
      <c r="B52" s="39">
        <f>SUM(B53:B61)</f>
        <v>3587919.56</v>
      </c>
      <c r="C52" s="27"/>
    </row>
    <row r="53" spans="1:3" x14ac:dyDescent="0.25">
      <c r="A53" s="24" t="s">
        <v>44</v>
      </c>
      <c r="B53" s="40">
        <f>321265.79+1768797.91</f>
        <v>2090063.7</v>
      </c>
      <c r="C53" s="25"/>
    </row>
    <row r="54" spans="1:3" x14ac:dyDescent="0.25">
      <c r="A54" s="24" t="s">
        <v>45</v>
      </c>
      <c r="B54" s="40">
        <v>216485.19</v>
      </c>
      <c r="C54" s="25"/>
    </row>
    <row r="55" spans="1:3" x14ac:dyDescent="0.25">
      <c r="A55" s="24" t="s">
        <v>46</v>
      </c>
      <c r="B55" s="40">
        <f>532164.51+21339.73+205311.42+326853.09</f>
        <v>1085668.75</v>
      </c>
      <c r="C55" s="25"/>
    </row>
    <row r="56" spans="1:3" x14ac:dyDescent="0.25">
      <c r="A56" s="24" t="s">
        <v>47</v>
      </c>
      <c r="B56" s="40">
        <v>0</v>
      </c>
      <c r="C56" s="25"/>
    </row>
    <row r="57" spans="1:3" x14ac:dyDescent="0.25">
      <c r="A57" s="24" t="s">
        <v>48</v>
      </c>
      <c r="B57" s="40">
        <v>195701.92</v>
      </c>
      <c r="C57" s="25"/>
    </row>
    <row r="58" spans="1:3" x14ac:dyDescent="0.25">
      <c r="A58" s="24" t="s">
        <v>49</v>
      </c>
      <c r="B58" s="40">
        <v>0</v>
      </c>
      <c r="C58" s="25"/>
    </row>
    <row r="59" spans="1:3" x14ac:dyDescent="0.25">
      <c r="A59" s="24" t="s">
        <v>50</v>
      </c>
      <c r="B59" s="40"/>
      <c r="C59" s="25"/>
    </row>
    <row r="60" spans="1:3" x14ac:dyDescent="0.25">
      <c r="A60" s="24" t="s">
        <v>51</v>
      </c>
      <c r="B60" s="40"/>
      <c r="C60" s="25"/>
    </row>
    <row r="61" spans="1:3" x14ac:dyDescent="0.25">
      <c r="A61" s="24" t="s">
        <v>52</v>
      </c>
      <c r="B61" s="40"/>
      <c r="C61" s="25"/>
    </row>
    <row r="62" spans="1:3" x14ac:dyDescent="0.25">
      <c r="A62" s="26" t="s">
        <v>53</v>
      </c>
      <c r="B62" s="39">
        <f>SUM(B63:B66)</f>
        <v>0</v>
      </c>
      <c r="C62" s="27"/>
    </row>
    <row r="63" spans="1:3" x14ac:dyDescent="0.25">
      <c r="A63" s="24" t="s">
        <v>54</v>
      </c>
      <c r="B63" s="40">
        <v>0</v>
      </c>
      <c r="C63" s="25"/>
    </row>
    <row r="64" spans="1:3" x14ac:dyDescent="0.25">
      <c r="A64" s="24" t="s">
        <v>55</v>
      </c>
      <c r="B64" s="40"/>
      <c r="C64" s="25"/>
    </row>
    <row r="65" spans="1:3" x14ac:dyDescent="0.25">
      <c r="A65" s="24" t="s">
        <v>56</v>
      </c>
      <c r="B65" s="40"/>
      <c r="C65" s="25"/>
    </row>
    <row r="66" spans="1:3" x14ac:dyDescent="0.25">
      <c r="A66" s="24" t="s">
        <v>57</v>
      </c>
      <c r="B66" s="40"/>
      <c r="C66" s="25"/>
    </row>
    <row r="67" spans="1:3" x14ac:dyDescent="0.25">
      <c r="A67" s="26" t="s">
        <v>58</v>
      </c>
      <c r="B67" s="39">
        <f>SUM(B68:B74)</f>
        <v>0</v>
      </c>
      <c r="C67" s="27"/>
    </row>
    <row r="68" spans="1:3" x14ac:dyDescent="0.25">
      <c r="A68" s="24" t="s">
        <v>59</v>
      </c>
      <c r="B68" s="40"/>
      <c r="C68" s="25"/>
    </row>
    <row r="69" spans="1:3" x14ac:dyDescent="0.25">
      <c r="A69" s="24" t="s">
        <v>60</v>
      </c>
      <c r="B69" s="40"/>
      <c r="C69" s="25"/>
    </row>
    <row r="70" spans="1:3" x14ac:dyDescent="0.25">
      <c r="A70" s="22" t="s">
        <v>61</v>
      </c>
      <c r="B70" s="38">
        <v>0</v>
      </c>
      <c r="C70" s="21"/>
    </row>
    <row r="71" spans="1:3" x14ac:dyDescent="0.25">
      <c r="A71" s="24" t="s">
        <v>62</v>
      </c>
      <c r="B71" s="40">
        <v>0</v>
      </c>
      <c r="C71" s="25"/>
    </row>
    <row r="72" spans="1:3" x14ac:dyDescent="0.25">
      <c r="A72" s="24" t="s">
        <v>63</v>
      </c>
      <c r="B72" s="40"/>
      <c r="C72" s="25"/>
    </row>
    <row r="73" spans="1:3" x14ac:dyDescent="0.25">
      <c r="A73" s="24" t="s">
        <v>64</v>
      </c>
      <c r="B73" s="40"/>
      <c r="C73" s="25"/>
    </row>
    <row r="74" spans="1:3" x14ac:dyDescent="0.25">
      <c r="A74" s="20" t="s">
        <v>69</v>
      </c>
      <c r="B74" s="38"/>
      <c r="C74" s="21"/>
    </row>
    <row r="75" spans="1:3" x14ac:dyDescent="0.25">
      <c r="A75" s="26" t="s">
        <v>70</v>
      </c>
      <c r="B75" s="39">
        <f>SUM(B76:B77)</f>
        <v>0</v>
      </c>
      <c r="C75" s="27"/>
    </row>
    <row r="76" spans="1:3" x14ac:dyDescent="0.25">
      <c r="A76" s="24" t="s">
        <v>71</v>
      </c>
      <c r="B76" s="40"/>
      <c r="C76" s="25"/>
    </row>
    <row r="77" spans="1:3" x14ac:dyDescent="0.25">
      <c r="A77" s="24" t="s">
        <v>72</v>
      </c>
      <c r="B77" s="40"/>
      <c r="C77" s="25"/>
    </row>
    <row r="78" spans="1:3" x14ac:dyDescent="0.25">
      <c r="A78" s="26" t="s">
        <v>73</v>
      </c>
      <c r="B78" s="39">
        <f>SUM(B79:B80)</f>
        <v>0</v>
      </c>
      <c r="C78" s="27"/>
    </row>
    <row r="79" spans="1:3" x14ac:dyDescent="0.25">
      <c r="A79" s="24" t="s">
        <v>74</v>
      </c>
      <c r="B79" s="40"/>
      <c r="C79" s="25"/>
    </row>
    <row r="80" spans="1:3" x14ac:dyDescent="0.25">
      <c r="A80" s="24" t="s">
        <v>75</v>
      </c>
      <c r="B80" s="40"/>
      <c r="C80" s="25"/>
    </row>
    <row r="81" spans="1:3" x14ac:dyDescent="0.25">
      <c r="A81" s="26" t="s">
        <v>76</v>
      </c>
      <c r="B81" s="39">
        <f>SUM(B82)</f>
        <v>0</v>
      </c>
      <c r="C81" s="27"/>
    </row>
    <row r="82" spans="1:3" x14ac:dyDescent="0.25">
      <c r="A82" s="24" t="s">
        <v>77</v>
      </c>
      <c r="B82" s="40"/>
      <c r="C82" s="25"/>
    </row>
    <row r="83" spans="1:3" x14ac:dyDescent="0.25">
      <c r="A83" s="18" t="s">
        <v>65</v>
      </c>
      <c r="B83" s="41">
        <f>+B81+B78+B75+B67+B62+B52+B45+B36+B26+B16+B10</f>
        <v>61072071.540000007</v>
      </c>
      <c r="C83" s="19"/>
    </row>
    <row r="84" spans="1:3" ht="15.75" thickBot="1" x14ac:dyDescent="0.3"/>
    <row r="85" spans="1:3" ht="26.25" customHeight="1" thickBot="1" x14ac:dyDescent="0.3">
      <c r="A85" s="15" t="s">
        <v>97</v>
      </c>
    </row>
    <row r="86" spans="1:3" ht="33.75" customHeight="1" thickBot="1" x14ac:dyDescent="0.3">
      <c r="A86" s="13" t="s">
        <v>98</v>
      </c>
    </row>
    <row r="87" spans="1:3" ht="45.75" thickBot="1" x14ac:dyDescent="0.3">
      <c r="A87" s="14" t="s">
        <v>99</v>
      </c>
    </row>
    <row r="89" spans="1:3" x14ac:dyDescent="0.25">
      <c r="A89" t="s">
        <v>104</v>
      </c>
      <c r="C89" t="s">
        <v>107</v>
      </c>
    </row>
    <row r="90" spans="1:3" x14ac:dyDescent="0.25">
      <c r="A90" t="s">
        <v>105</v>
      </c>
      <c r="C90" t="s">
        <v>108</v>
      </c>
    </row>
    <row r="91" spans="1:3" x14ac:dyDescent="0.25">
      <c r="A91" t="s">
        <v>106</v>
      </c>
      <c r="C91" t="s">
        <v>109</v>
      </c>
    </row>
  </sheetData>
  <mergeCells count="3">
    <mergeCell ref="A7:A8"/>
    <mergeCell ref="B7:B8"/>
    <mergeCell ref="C7:C8"/>
  </mergeCells>
  <pageMargins left="0.31496062992125984" right="0.11811023622047245" top="0.15748031496062992" bottom="0.15748031496062992" header="0.31496062992125984" footer="0.31496062992125984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4"/>
  <sheetViews>
    <sheetView showGridLines="0" tabSelected="1" topLeftCell="F3" zoomScale="70" zoomScaleNormal="70" workbookViewId="0">
      <selection activeCell="M37" sqref="M37"/>
    </sheetView>
  </sheetViews>
  <sheetFormatPr baseColWidth="10" defaultColWidth="11.42578125" defaultRowHeight="15" x14ac:dyDescent="0.25"/>
  <cols>
    <col min="1" max="1" width="71.42578125" customWidth="1"/>
    <col min="2" max="2" width="22.85546875" customWidth="1"/>
    <col min="3" max="3" width="15.85546875" hidden="1" customWidth="1"/>
    <col min="4" max="4" width="21.5703125" customWidth="1"/>
    <col min="5" max="5" width="20.140625" customWidth="1"/>
    <col min="6" max="6" width="19.140625" customWidth="1"/>
    <col min="7" max="8" width="19" customWidth="1"/>
    <col min="9" max="9" width="19.5703125" customWidth="1"/>
    <col min="10" max="10" width="21" customWidth="1"/>
    <col min="11" max="11" width="18.42578125" customWidth="1"/>
    <col min="12" max="12" width="19.140625" customWidth="1"/>
    <col min="13" max="15" width="20.140625" customWidth="1"/>
    <col min="16" max="16" width="21.85546875" customWidth="1"/>
    <col min="17" max="17" width="12.140625" bestFit="1" customWidth="1"/>
  </cols>
  <sheetData>
    <row r="2" spans="1:18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8" ht="21" customHeight="1" x14ac:dyDescent="0.25">
      <c r="A3" s="63" t="s">
        <v>110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8" ht="15.75" x14ac:dyDescent="0.25">
      <c r="A4" s="67" t="s">
        <v>117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8" ht="15.75" customHeight="1" x14ac:dyDescent="0.25">
      <c r="A5" s="69" t="s">
        <v>100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8" ht="15.75" customHeight="1" x14ac:dyDescent="0.25">
      <c r="A6" s="57" t="s">
        <v>79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8" spans="1:18" ht="25.5" customHeight="1" x14ac:dyDescent="0.25">
      <c r="A8" s="54" t="s">
        <v>66</v>
      </c>
      <c r="B8" s="55" t="s">
        <v>96</v>
      </c>
      <c r="C8" s="55" t="s">
        <v>95</v>
      </c>
      <c r="D8" s="58" t="s">
        <v>93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0"/>
    </row>
    <row r="9" spans="1:18" x14ac:dyDescent="0.25">
      <c r="A9" s="65"/>
      <c r="B9" s="66"/>
      <c r="C9" s="66"/>
      <c r="D9" s="16" t="s">
        <v>81</v>
      </c>
      <c r="E9" s="16" t="s">
        <v>82</v>
      </c>
      <c r="F9" s="16" t="s">
        <v>83</v>
      </c>
      <c r="G9" s="16" t="s">
        <v>84</v>
      </c>
      <c r="H9" s="17" t="s">
        <v>85</v>
      </c>
      <c r="I9" s="16" t="s">
        <v>86</v>
      </c>
      <c r="J9" s="17" t="s">
        <v>87</v>
      </c>
      <c r="K9" s="17" t="s">
        <v>111</v>
      </c>
      <c r="L9" s="17" t="s">
        <v>112</v>
      </c>
      <c r="M9" s="17" t="s">
        <v>113</v>
      </c>
      <c r="N9" s="17" t="s">
        <v>114</v>
      </c>
      <c r="O9" s="17" t="s">
        <v>115</v>
      </c>
      <c r="P9" s="16" t="s">
        <v>80</v>
      </c>
    </row>
    <row r="10" spans="1:18" ht="15.75" thickBot="1" x14ac:dyDescent="0.3">
      <c r="A10" s="20" t="s">
        <v>0</v>
      </c>
      <c r="B10" s="51">
        <f>+B11+B17+B27+B53</f>
        <v>61072071.540000007</v>
      </c>
      <c r="C10" s="42">
        <f t="shared" ref="C10:P10" si="0">+C11+C17+C27+C37+C46+C53+C63+C68</f>
        <v>0</v>
      </c>
      <c r="D10" s="42">
        <f t="shared" si="0"/>
        <v>417979.51</v>
      </c>
      <c r="E10" s="50">
        <f t="shared" si="0"/>
        <v>4718609.9899999993</v>
      </c>
      <c r="F10" s="21">
        <f t="shared" si="0"/>
        <v>4128100.31</v>
      </c>
      <c r="G10" s="21">
        <f t="shared" si="0"/>
        <v>8879669.5700000003</v>
      </c>
      <c r="H10" s="21">
        <f t="shared" si="0"/>
        <v>7260384.1699999999</v>
      </c>
      <c r="I10" s="21">
        <f t="shared" si="0"/>
        <v>8131828.4100000001</v>
      </c>
      <c r="J10" s="21">
        <f t="shared" si="0"/>
        <v>4924127.29</v>
      </c>
      <c r="K10" s="21">
        <f t="shared" si="0"/>
        <v>6244335.1599999992</v>
      </c>
      <c r="L10" s="53">
        <f t="shared" si="0"/>
        <v>10178900.560000001</v>
      </c>
      <c r="M10" s="21">
        <f t="shared" ref="M10:N10" si="1">+M11+M17+M27+M37+M46+M53+M63+M68</f>
        <v>6761657.1499999994</v>
      </c>
      <c r="N10" s="21">
        <f t="shared" si="1"/>
        <v>0</v>
      </c>
      <c r="O10" s="21">
        <f t="shared" ref="O10" si="2">+O11+O17+O27+O37+O46+O53+O63+O68</f>
        <v>0</v>
      </c>
      <c r="P10" s="21">
        <f t="shared" si="0"/>
        <v>61645592.120000005</v>
      </c>
      <c r="Q10" s="49"/>
      <c r="R10" s="47"/>
    </row>
    <row r="11" spans="1:18" ht="15.75" thickTop="1" x14ac:dyDescent="0.25">
      <c r="A11" s="26" t="s">
        <v>1</v>
      </c>
      <c r="B11" s="43">
        <f>SUM(B12:B16)</f>
        <v>7114467.6100000003</v>
      </c>
      <c r="C11" s="43">
        <f t="shared" ref="C11:P11" si="3">SUM(C12:C16)</f>
        <v>0</v>
      </c>
      <c r="D11" s="43">
        <f t="shared" si="3"/>
        <v>181000</v>
      </c>
      <c r="E11" s="27">
        <f t="shared" si="3"/>
        <v>238500</v>
      </c>
      <c r="F11" s="27">
        <f>SUM(F12:F16)</f>
        <v>233400</v>
      </c>
      <c r="G11" s="27">
        <f t="shared" si="3"/>
        <v>2175348.17</v>
      </c>
      <c r="H11" s="27">
        <f t="shared" si="3"/>
        <v>145000</v>
      </c>
      <c r="I11" s="27">
        <f t="shared" si="3"/>
        <v>80000</v>
      </c>
      <c r="J11" s="27">
        <f t="shared" si="3"/>
        <v>170000</v>
      </c>
      <c r="K11" s="27">
        <f t="shared" si="3"/>
        <v>159000</v>
      </c>
      <c r="L11" s="27">
        <f t="shared" si="3"/>
        <v>2981027</v>
      </c>
      <c r="M11" s="27">
        <f t="shared" ref="M11" si="4">SUM(M12:M16)</f>
        <v>0</v>
      </c>
      <c r="N11" s="27">
        <f t="shared" ref="N11:O11" si="5">SUM(N12:N16)</f>
        <v>0</v>
      </c>
      <c r="O11" s="27">
        <f t="shared" si="5"/>
        <v>0</v>
      </c>
      <c r="P11" s="27">
        <f t="shared" si="3"/>
        <v>6363275.1699999999</v>
      </c>
      <c r="Q11" s="47"/>
    </row>
    <row r="12" spans="1:18" x14ac:dyDescent="0.25">
      <c r="A12" s="24" t="s">
        <v>2</v>
      </c>
      <c r="B12" s="44">
        <v>7114467.6100000003</v>
      </c>
      <c r="C12" s="44"/>
      <c r="D12" s="44">
        <v>181000</v>
      </c>
      <c r="E12" s="44">
        <v>238500</v>
      </c>
      <c r="F12" s="44">
        <f>213400+20000</f>
        <v>233400</v>
      </c>
      <c r="G12" s="44">
        <f>20000+2015348.17+140000</f>
        <v>2175348.17</v>
      </c>
      <c r="H12" s="44">
        <f>20000+125000</f>
        <v>145000</v>
      </c>
      <c r="I12" s="44">
        <f>20000+60000</f>
        <v>80000</v>
      </c>
      <c r="J12" s="44">
        <v>170000</v>
      </c>
      <c r="K12" s="44">
        <f>20000+139000</f>
        <v>159000</v>
      </c>
      <c r="L12" s="44">
        <v>2861027</v>
      </c>
      <c r="M12" s="44"/>
      <c r="N12" s="44"/>
      <c r="O12" s="44"/>
      <c r="P12" s="44">
        <f>SUM(D12:O12)</f>
        <v>6243275.1699999999</v>
      </c>
    </row>
    <row r="13" spans="1:18" x14ac:dyDescent="0.25">
      <c r="A13" s="24" t="s">
        <v>3</v>
      </c>
      <c r="B13" s="44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>
        <v>120000</v>
      </c>
      <c r="M13" s="44"/>
      <c r="N13" s="44"/>
      <c r="O13" s="44"/>
      <c r="P13" s="44">
        <f>SUM(D13:O13)</f>
        <v>120000</v>
      </c>
    </row>
    <row r="14" spans="1:18" x14ac:dyDescent="0.25">
      <c r="A14" s="24" t="s">
        <v>4</v>
      </c>
      <c r="B14" s="44"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>
        <f>SUM(D14:O14)</f>
        <v>0</v>
      </c>
      <c r="Q14" s="10"/>
    </row>
    <row r="15" spans="1:18" x14ac:dyDescent="0.25">
      <c r="A15" s="24" t="s">
        <v>5</v>
      </c>
      <c r="B15" s="44"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>
        <f>SUM(D15:O15)</f>
        <v>0</v>
      </c>
    </row>
    <row r="16" spans="1:18" x14ac:dyDescent="0.25">
      <c r="A16" s="24" t="s">
        <v>6</v>
      </c>
      <c r="B16" s="44"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>
        <f>SUM(D16:O16)</f>
        <v>0</v>
      </c>
    </row>
    <row r="17" spans="1:16" x14ac:dyDescent="0.25">
      <c r="A17" s="26" t="s">
        <v>7</v>
      </c>
      <c r="B17" s="43">
        <f>SUM(B18:B26)</f>
        <v>6273607.4199999999</v>
      </c>
      <c r="C17" s="43">
        <f t="shared" ref="C17:J17" si="6">SUM(C18:C26)</f>
        <v>0</v>
      </c>
      <c r="D17" s="43">
        <f t="shared" si="6"/>
        <v>879.51</v>
      </c>
      <c r="E17" s="27">
        <f t="shared" si="6"/>
        <v>54117.5</v>
      </c>
      <c r="F17" s="27">
        <f t="shared" si="6"/>
        <v>519065.09</v>
      </c>
      <c r="G17" s="27">
        <f t="shared" si="6"/>
        <v>451373.65</v>
      </c>
      <c r="H17" s="27">
        <f t="shared" si="6"/>
        <v>288161.46999999997</v>
      </c>
      <c r="I17" s="27">
        <f t="shared" si="6"/>
        <v>530025.30000000005</v>
      </c>
      <c r="J17" s="27">
        <f t="shared" si="6"/>
        <v>240360</v>
      </c>
      <c r="K17" s="27">
        <f t="shared" ref="K17:P17" si="7">SUM(K18:K26)</f>
        <v>1372426.22</v>
      </c>
      <c r="L17" s="27">
        <f t="shared" si="7"/>
        <v>1727394.3</v>
      </c>
      <c r="M17" s="27">
        <f t="shared" si="7"/>
        <v>849278.1399999999</v>
      </c>
      <c r="N17" s="27">
        <f t="shared" si="7"/>
        <v>0</v>
      </c>
      <c r="O17" s="27">
        <f t="shared" si="7"/>
        <v>0</v>
      </c>
      <c r="P17" s="27">
        <f t="shared" si="7"/>
        <v>6033081.1800000006</v>
      </c>
    </row>
    <row r="18" spans="1:16" x14ac:dyDescent="0.25">
      <c r="A18" s="24" t="s">
        <v>8</v>
      </c>
      <c r="B18" s="44">
        <v>96000</v>
      </c>
      <c r="C18" s="44"/>
      <c r="D18" s="44"/>
      <c r="E18" s="44"/>
      <c r="F18" s="44"/>
      <c r="G18" s="44"/>
      <c r="H18" s="44"/>
      <c r="I18" s="44"/>
      <c r="J18" s="44"/>
      <c r="K18" s="44"/>
      <c r="L18" s="44">
        <v>69000</v>
      </c>
      <c r="M18" s="44">
        <v>18500</v>
      </c>
      <c r="N18" s="44"/>
      <c r="O18" s="44"/>
      <c r="P18" s="44">
        <f t="shared" ref="P18:P26" si="8">SUM(D18:O18)</f>
        <v>87500</v>
      </c>
    </row>
    <row r="19" spans="1:16" x14ac:dyDescent="0.25">
      <c r="A19" s="24" t="s">
        <v>9</v>
      </c>
      <c r="B19" s="44">
        <v>161917.26999999999</v>
      </c>
      <c r="C19" s="44"/>
      <c r="D19" s="44"/>
      <c r="E19" s="44"/>
      <c r="F19" s="44"/>
      <c r="G19" s="44"/>
      <c r="H19" s="44"/>
      <c r="I19" s="44">
        <v>60121</v>
      </c>
      <c r="J19" s="44"/>
      <c r="K19" s="44"/>
      <c r="L19" s="44"/>
      <c r="M19" s="44">
        <v>252189.6</v>
      </c>
      <c r="N19" s="44"/>
      <c r="O19" s="44"/>
      <c r="P19" s="44">
        <f t="shared" si="8"/>
        <v>312310.59999999998</v>
      </c>
    </row>
    <row r="20" spans="1:16" x14ac:dyDescent="0.25">
      <c r="A20" s="24" t="s">
        <v>10</v>
      </c>
      <c r="B20" s="44">
        <v>165650</v>
      </c>
      <c r="C20" s="44"/>
      <c r="D20" s="44"/>
      <c r="E20" s="44"/>
      <c r="F20" s="44"/>
      <c r="G20" s="44">
        <f>32900+30450</f>
        <v>63350</v>
      </c>
      <c r="H20" s="44">
        <v>10850</v>
      </c>
      <c r="I20" s="44">
        <v>56600</v>
      </c>
      <c r="J20" s="44">
        <v>28800</v>
      </c>
      <c r="K20" s="44">
        <v>14200</v>
      </c>
      <c r="L20" s="44">
        <v>27100</v>
      </c>
      <c r="M20" s="44">
        <v>42200</v>
      </c>
      <c r="N20" s="44"/>
      <c r="O20" s="44"/>
      <c r="P20" s="44">
        <f t="shared" si="8"/>
        <v>243100</v>
      </c>
    </row>
    <row r="21" spans="1:16" x14ac:dyDescent="0.25">
      <c r="A21" s="24" t="s">
        <v>11</v>
      </c>
      <c r="B21" s="44">
        <v>135889.5</v>
      </c>
      <c r="C21" s="44"/>
      <c r="D21" s="44"/>
      <c r="F21" s="44">
        <v>3428.7</v>
      </c>
      <c r="G21" s="44"/>
      <c r="H21" s="44">
        <v>13773.35</v>
      </c>
      <c r="I21" s="44">
        <v>101904.3</v>
      </c>
      <c r="J21" s="44"/>
      <c r="K21" s="44">
        <v>12969.62</v>
      </c>
      <c r="L21" s="44">
        <v>2814.3</v>
      </c>
      <c r="M21" s="44"/>
      <c r="N21" s="44"/>
      <c r="O21" s="44"/>
      <c r="P21" s="44">
        <f t="shared" si="8"/>
        <v>134890.26999999999</v>
      </c>
    </row>
    <row r="22" spans="1:16" x14ac:dyDescent="0.25">
      <c r="A22" s="24" t="s">
        <v>12</v>
      </c>
      <c r="B22" s="44">
        <v>1390851.83</v>
      </c>
      <c r="C22" s="44"/>
      <c r="D22" s="44"/>
      <c r="E22" s="44"/>
      <c r="F22" s="44">
        <f>143762.5+143000</f>
        <v>286762.5</v>
      </c>
      <c r="G22" s="44">
        <v>102658.95</v>
      </c>
      <c r="H22" s="44">
        <v>12000</v>
      </c>
      <c r="I22" s="44">
        <v>157000</v>
      </c>
      <c r="J22" s="44"/>
      <c r="K22" s="44">
        <v>64000</v>
      </c>
      <c r="L22" s="44">
        <v>39000</v>
      </c>
      <c r="M22" s="44">
        <v>230802.05</v>
      </c>
      <c r="N22" s="44"/>
      <c r="O22" s="44"/>
      <c r="P22" s="44">
        <f t="shared" si="8"/>
        <v>892223.5</v>
      </c>
    </row>
    <row r="23" spans="1:16" x14ac:dyDescent="0.25">
      <c r="A23" s="24" t="s">
        <v>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>
        <f t="shared" si="8"/>
        <v>0</v>
      </c>
    </row>
    <row r="24" spans="1:16" x14ac:dyDescent="0.25">
      <c r="A24" s="24" t="s">
        <v>14</v>
      </c>
      <c r="B24" s="44">
        <v>3672337.55</v>
      </c>
      <c r="C24" s="44"/>
      <c r="D24" s="44"/>
      <c r="E24" s="44">
        <v>36117.5</v>
      </c>
      <c r="F24" s="44">
        <v>70000</v>
      </c>
      <c r="G24" s="44">
        <v>245598.7</v>
      </c>
      <c r="H24" s="44">
        <f>32660+9748+1522.2+4400+178050</f>
        <v>226380.2</v>
      </c>
      <c r="I24" s="44">
        <v>140000</v>
      </c>
      <c r="J24" s="44">
        <f>197060+4000</f>
        <v>201060</v>
      </c>
      <c r="K24" s="44">
        <f>186000+269781.04+233640+140000</f>
        <v>829421.04</v>
      </c>
      <c r="L24" s="44">
        <f>1399480+100000</f>
        <v>1499480</v>
      </c>
      <c r="M24" s="44">
        <f>100000+8096.49</f>
        <v>108096.49</v>
      </c>
      <c r="N24" s="44"/>
      <c r="O24" s="44"/>
      <c r="P24" s="44">
        <f t="shared" si="8"/>
        <v>3356153.93</v>
      </c>
    </row>
    <row r="25" spans="1:16" x14ac:dyDescent="0.25">
      <c r="A25" s="24" t="s">
        <v>15</v>
      </c>
      <c r="B25" s="44">
        <v>650961.27</v>
      </c>
      <c r="C25" s="44"/>
      <c r="D25" s="44">
        <v>879.51</v>
      </c>
      <c r="E25" s="44">
        <v>18000</v>
      </c>
      <c r="F25" s="44"/>
      <c r="G25" s="44"/>
      <c r="H25" s="44">
        <f>10757.92+14400</f>
        <v>25157.919999999998</v>
      </c>
      <c r="I25" s="44"/>
      <c r="J25" s="44"/>
      <c r="K25" s="44"/>
      <c r="L25" s="44"/>
      <c r="M25" s="44"/>
      <c r="N25" s="44"/>
      <c r="O25" s="44"/>
      <c r="P25" s="44">
        <f t="shared" si="8"/>
        <v>44037.429999999993</v>
      </c>
    </row>
    <row r="26" spans="1:16" x14ac:dyDescent="0.25">
      <c r="A26" s="24" t="s">
        <v>16</v>
      </c>
      <c r="B26" s="44"/>
      <c r="C26" s="44"/>
      <c r="D26" s="44"/>
      <c r="E26" s="44"/>
      <c r="F26" s="44">
        <f>129612.85+12000+17261.04</f>
        <v>158873.89000000001</v>
      </c>
      <c r="G26" s="44">
        <f>14160+25606</f>
        <v>39766</v>
      </c>
      <c r="H26" s="44"/>
      <c r="I26" s="44">
        <v>14400</v>
      </c>
      <c r="J26" s="44">
        <v>10500</v>
      </c>
      <c r="K26" s="44">
        <f>12000+389449.56+50386</f>
        <v>451835.56</v>
      </c>
      <c r="L26" s="44">
        <f>15000+75000</f>
        <v>90000</v>
      </c>
      <c r="M26" s="44">
        <f>17900+120000+59590</f>
        <v>197490</v>
      </c>
      <c r="N26" s="44"/>
      <c r="O26" s="44"/>
      <c r="P26" s="44">
        <f t="shared" si="8"/>
        <v>962865.45</v>
      </c>
    </row>
    <row r="27" spans="1:16" x14ac:dyDescent="0.25">
      <c r="A27" s="26" t="s">
        <v>17</v>
      </c>
      <c r="B27" s="43">
        <f>SUM(B28:B36)</f>
        <v>44096076.950000003</v>
      </c>
      <c r="C27" s="43">
        <f t="shared" ref="C27:P27" si="9">SUM(C28:C36)</f>
        <v>0</v>
      </c>
      <c r="D27" s="43">
        <f t="shared" si="9"/>
        <v>236100</v>
      </c>
      <c r="E27" s="27">
        <f t="shared" si="9"/>
        <v>4360284.43</v>
      </c>
      <c r="F27" s="27">
        <f t="shared" si="9"/>
        <v>3358883.94</v>
      </c>
      <c r="G27" s="27">
        <f t="shared" si="9"/>
        <v>6236389.2699999996</v>
      </c>
      <c r="H27" s="27">
        <f t="shared" si="9"/>
        <v>6017325.4400000004</v>
      </c>
      <c r="I27" s="27">
        <f>+I28+I29+I30+I31+I32+I33+I34+I35+I36</f>
        <v>7411488.4900000002</v>
      </c>
      <c r="J27" s="27">
        <f t="shared" ref="J27:L27" si="10">+J28+J29+J30+J31+J32+J33+J34+J35+J36</f>
        <v>4483567.29</v>
      </c>
      <c r="K27" s="27">
        <f t="shared" si="10"/>
        <v>4602434.0299999993</v>
      </c>
      <c r="L27" s="27">
        <f t="shared" si="10"/>
        <v>5358188.43</v>
      </c>
      <c r="M27" s="27">
        <f t="shared" ref="M27" si="11">+M28+M29+M30+M31+M32+M33+M34+M35+M36</f>
        <v>4869566.2</v>
      </c>
      <c r="N27" s="27">
        <f t="shared" ref="N27:O27" si="12">+N28+N29+N30+N31+N32+N33+N34+N35+N36</f>
        <v>0</v>
      </c>
      <c r="O27" s="27">
        <f t="shared" si="12"/>
        <v>0</v>
      </c>
      <c r="P27" s="27">
        <f t="shared" si="9"/>
        <v>46934227.520000003</v>
      </c>
    </row>
    <row r="28" spans="1:16" x14ac:dyDescent="0.25">
      <c r="A28" s="24" t="s">
        <v>18</v>
      </c>
      <c r="B28" s="44">
        <v>2849516.4</v>
      </c>
      <c r="C28" s="44"/>
      <c r="D28" s="44"/>
      <c r="E28" s="44"/>
      <c r="F28" s="44">
        <v>130806.82</v>
      </c>
      <c r="G28" s="44">
        <f>308055+176388.64</f>
        <v>484443.64</v>
      </c>
      <c r="H28" s="44">
        <f>145355+40800</f>
        <v>186155</v>
      </c>
      <c r="I28" s="44">
        <v>632006.69999999995</v>
      </c>
      <c r="J28" s="44">
        <v>469424</v>
      </c>
      <c r="K28" s="44">
        <v>566292.9</v>
      </c>
      <c r="L28" s="44">
        <v>515426.1</v>
      </c>
      <c r="M28" s="44">
        <v>338395</v>
      </c>
      <c r="N28" s="44"/>
      <c r="O28" s="44"/>
      <c r="P28" s="44">
        <f t="shared" ref="P28:P36" si="13">SUM(D28:O28)</f>
        <v>3322950.16</v>
      </c>
    </row>
    <row r="29" spans="1:16" x14ac:dyDescent="0.25">
      <c r="A29" s="24" t="s">
        <v>19</v>
      </c>
      <c r="B29" s="44"/>
      <c r="C29" s="44"/>
      <c r="D29" s="44"/>
      <c r="E29" s="44">
        <v>64232</v>
      </c>
      <c r="F29" s="44"/>
      <c r="G29" s="44"/>
      <c r="H29" s="44">
        <f>2464+23836+106495</f>
        <v>132795</v>
      </c>
      <c r="I29" s="44">
        <v>146733</v>
      </c>
      <c r="J29" s="44">
        <v>3000</v>
      </c>
      <c r="K29" s="44"/>
      <c r="L29" s="44"/>
      <c r="M29" s="44"/>
      <c r="N29" s="44"/>
      <c r="O29" s="44"/>
      <c r="P29" s="44">
        <f t="shared" si="13"/>
        <v>346760</v>
      </c>
    </row>
    <row r="30" spans="1:16" x14ac:dyDescent="0.25">
      <c r="A30" s="24" t="s">
        <v>20</v>
      </c>
      <c r="B30" s="44">
        <v>440631.08</v>
      </c>
      <c r="C30" s="44"/>
      <c r="D30" s="44"/>
      <c r="E30" s="44">
        <f>244440+6800</f>
        <v>251240</v>
      </c>
      <c r="F30" s="44">
        <f>52111.8+57136.2+10513.8</f>
        <v>119761.8</v>
      </c>
      <c r="G30" s="44">
        <f>65507+109710+53200</f>
        <v>228417</v>
      </c>
      <c r="H30" s="44">
        <f>4200</f>
        <v>4200</v>
      </c>
      <c r="I30" s="44">
        <f>80108.01+346117.4</f>
        <v>426225.41000000003</v>
      </c>
      <c r="J30" s="44"/>
      <c r="K30" s="44"/>
      <c r="L30" s="44">
        <v>117159</v>
      </c>
      <c r="M30" s="44">
        <f>208736.74+107162.04+3540</f>
        <v>319438.77999999997</v>
      </c>
      <c r="N30" s="44"/>
      <c r="O30" s="44"/>
      <c r="P30" s="44">
        <f t="shared" si="13"/>
        <v>1466441.99</v>
      </c>
    </row>
    <row r="31" spans="1:16" x14ac:dyDescent="0.25">
      <c r="A31" s="24" t="s">
        <v>21</v>
      </c>
      <c r="B31" s="44">
        <v>10545147.74</v>
      </c>
      <c r="C31" s="44"/>
      <c r="D31" s="44"/>
      <c r="E31" s="44">
        <v>629275</v>
      </c>
      <c r="F31" s="44">
        <v>1275031</v>
      </c>
      <c r="G31" s="44">
        <f>24526+962330.5+433675</f>
        <v>1420531.5</v>
      </c>
      <c r="H31" s="44">
        <f>864117.99</f>
        <v>864117.99</v>
      </c>
      <c r="I31" s="44">
        <v>559792</v>
      </c>
      <c r="J31" s="44">
        <v>1279875</v>
      </c>
      <c r="K31" s="44">
        <v>904117</v>
      </c>
      <c r="L31" s="44">
        <v>2222968</v>
      </c>
      <c r="M31" s="44"/>
      <c r="N31" s="44"/>
      <c r="O31" s="44"/>
      <c r="P31" s="44">
        <f t="shared" si="13"/>
        <v>9155707.4900000002</v>
      </c>
    </row>
    <row r="32" spans="1:16" x14ac:dyDescent="0.25">
      <c r="A32" s="24" t="s">
        <v>22</v>
      </c>
      <c r="B32" s="44">
        <v>402043.62</v>
      </c>
      <c r="C32" s="44"/>
      <c r="D32" s="44"/>
      <c r="E32" s="44">
        <v>128400</v>
      </c>
      <c r="F32" s="44">
        <v>41000</v>
      </c>
      <c r="G32" s="44">
        <v>77650</v>
      </c>
      <c r="H32" s="44">
        <f>167865</f>
        <v>167865</v>
      </c>
      <c r="I32" s="44">
        <v>127075</v>
      </c>
      <c r="J32" s="44">
        <v>75360</v>
      </c>
      <c r="K32" s="44">
        <v>60315</v>
      </c>
      <c r="L32" s="44">
        <v>123530</v>
      </c>
      <c r="M32" s="44"/>
      <c r="N32" s="44"/>
      <c r="O32" s="44"/>
      <c r="P32" s="44">
        <f t="shared" si="13"/>
        <v>801195</v>
      </c>
    </row>
    <row r="33" spans="1:16" x14ac:dyDescent="0.25">
      <c r="A33" s="24" t="s">
        <v>23</v>
      </c>
      <c r="B33" s="44">
        <v>581101.05000000005</v>
      </c>
      <c r="C33" s="44"/>
      <c r="D33" s="44"/>
      <c r="E33" s="44">
        <v>91313.16</v>
      </c>
      <c r="F33" s="44">
        <v>3540</v>
      </c>
      <c r="G33" s="44">
        <v>96560</v>
      </c>
      <c r="H33" s="44">
        <f>28750+27000+91313.16+18300</f>
        <v>165363.16</v>
      </c>
      <c r="I33" s="44"/>
      <c r="J33" s="44">
        <f>2300+7900+7050+65200+9695+41950+165+2750</f>
        <v>137010</v>
      </c>
      <c r="K33" s="44"/>
      <c r="L33" s="44"/>
      <c r="M33" s="44">
        <v>745985.82</v>
      </c>
      <c r="N33" s="44"/>
      <c r="O33" s="44"/>
      <c r="P33" s="44">
        <f t="shared" si="13"/>
        <v>1239772.1399999999</v>
      </c>
    </row>
    <row r="34" spans="1:16" x14ac:dyDescent="0.25">
      <c r="A34" s="24" t="s">
        <v>24</v>
      </c>
      <c r="B34" s="44">
        <v>13263288.74</v>
      </c>
      <c r="C34" s="44"/>
      <c r="D34" s="44">
        <v>236100</v>
      </c>
      <c r="E34" s="44">
        <f>162600+634700.16</f>
        <v>797300.16</v>
      </c>
      <c r="F34" s="44">
        <f>45464.56+1174438.19+2478</f>
        <v>1222380.75</v>
      </c>
      <c r="G34" s="44">
        <f>328449.86+1162639.76+3740+499630.5+668406.49+184788</f>
        <v>2847654.6100000003</v>
      </c>
      <c r="H34" s="44">
        <f>197900+26520+718320.17+381424.28</f>
        <v>1324164.4500000002</v>
      </c>
      <c r="I34" s="44">
        <f>287721.01+43212.08+41931+911313.38+448893.18</f>
        <v>1733070.65</v>
      </c>
      <c r="J34" s="44">
        <f>189299.58+1750+611764.06+264850+3670</f>
        <v>1071333.6400000001</v>
      </c>
      <c r="K34" s="44">
        <f>246550+726415.73+661858.75</f>
        <v>1634824.48</v>
      </c>
      <c r="L34" s="44">
        <f>287000+1279707.68+318877.05</f>
        <v>1885584.73</v>
      </c>
      <c r="M34" s="44">
        <f>406398.06+984296.27+56498.4+301600</f>
        <v>1748792.73</v>
      </c>
      <c r="N34" s="44"/>
      <c r="O34" s="44"/>
      <c r="P34" s="44">
        <f t="shared" si="13"/>
        <v>14501206.200000003</v>
      </c>
    </row>
    <row r="35" spans="1:16" x14ac:dyDescent="0.25">
      <c r="A35" s="24" t="s">
        <v>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>
        <f t="shared" si="13"/>
        <v>0</v>
      </c>
    </row>
    <row r="36" spans="1:16" x14ac:dyDescent="0.25">
      <c r="A36" s="24" t="s">
        <v>26</v>
      </c>
      <c r="B36" s="44">
        <v>16014348.32</v>
      </c>
      <c r="C36" s="44"/>
      <c r="D36" s="44"/>
      <c r="E36" s="44">
        <v>2398524.11</v>
      </c>
      <c r="F36" s="44">
        <f>566336.59+26.1+0.19+0.69</f>
        <v>566363.56999999983</v>
      </c>
      <c r="G36" s="44">
        <f>1076675.6+4456.92</f>
        <v>1081132.52</v>
      </c>
      <c r="H36" s="44">
        <f>10580+31246.45+2990586.15+1570+53954.24+4853+79875</f>
        <v>3172664.8400000003</v>
      </c>
      <c r="I36" s="44">
        <f>2487290.09+1072772.31+320+4453.7+7474.25+6000+208275.38</f>
        <v>3786585.73</v>
      </c>
      <c r="J36" s="44">
        <f>1045763.96+248815+20050+62845+42800+7290.69+20000</f>
        <v>1447564.65</v>
      </c>
      <c r="K36" s="44">
        <v>1436884.65</v>
      </c>
      <c r="L36" s="44">
        <v>493520.6</v>
      </c>
      <c r="M36" s="44">
        <f>690+27732.48+146732.26+1501011.18+8327.26+2030+44.25+40752.32-10365.88</f>
        <v>1716953.87</v>
      </c>
      <c r="N36" s="44"/>
      <c r="O36" s="44"/>
      <c r="P36" s="44">
        <f t="shared" si="13"/>
        <v>16100194.539999999</v>
      </c>
    </row>
    <row r="37" spans="1:16" x14ac:dyDescent="0.25">
      <c r="A37" s="26" t="s">
        <v>27</v>
      </c>
      <c r="B37" s="43">
        <f>SUM(B38:B45)</f>
        <v>0</v>
      </c>
      <c r="C37" s="43">
        <f t="shared" ref="C37:P37" si="14">SUM(C38:C45)</f>
        <v>0</v>
      </c>
      <c r="D37" s="43">
        <f t="shared" si="14"/>
        <v>0</v>
      </c>
      <c r="E37" s="27">
        <f t="shared" si="14"/>
        <v>0</v>
      </c>
      <c r="F37" s="27">
        <f t="shared" si="14"/>
        <v>0</v>
      </c>
      <c r="G37" s="27">
        <f t="shared" si="14"/>
        <v>0</v>
      </c>
      <c r="H37" s="27">
        <f t="shared" si="14"/>
        <v>0</v>
      </c>
      <c r="I37" s="27">
        <f t="shared" si="14"/>
        <v>0</v>
      </c>
      <c r="J37" s="27">
        <f t="shared" si="14"/>
        <v>0</v>
      </c>
      <c r="K37" s="27">
        <f t="shared" ref="K37:L37" si="15">SUM(K38:K45)</f>
        <v>0</v>
      </c>
      <c r="L37" s="27">
        <f t="shared" si="15"/>
        <v>0</v>
      </c>
      <c r="M37" s="27">
        <f t="shared" ref="M37:N37" si="16">SUM(M38:M45)</f>
        <v>0</v>
      </c>
      <c r="N37" s="27">
        <f t="shared" si="16"/>
        <v>0</v>
      </c>
      <c r="O37" s="27">
        <f t="shared" ref="O37" si="17">SUM(O38:O45)</f>
        <v>0</v>
      </c>
      <c r="P37" s="27">
        <f t="shared" si="14"/>
        <v>0</v>
      </c>
    </row>
    <row r="38" spans="1:16" x14ac:dyDescent="0.25">
      <c r="A38" s="24" t="s">
        <v>28</v>
      </c>
      <c r="B38" s="44">
        <f>+'P1 Presupuesto Aprobado'!B37</f>
        <v>0</v>
      </c>
      <c r="C38" s="44"/>
      <c r="D38" s="4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44">
        <f t="shared" ref="P38:P45" si="18">SUM(D38:O38)</f>
        <v>0</v>
      </c>
    </row>
    <row r="39" spans="1:16" x14ac:dyDescent="0.25">
      <c r="A39" s="24" t="s">
        <v>29</v>
      </c>
      <c r="B39" s="44">
        <f>+'P1 Presupuesto Aprobado'!B38</f>
        <v>0</v>
      </c>
      <c r="C39" s="44"/>
      <c r="D39" s="4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44">
        <f t="shared" si="18"/>
        <v>0</v>
      </c>
    </row>
    <row r="40" spans="1:16" x14ac:dyDescent="0.25">
      <c r="A40" s="24" t="s">
        <v>30</v>
      </c>
      <c r="B40" s="44">
        <f>+'P1 Presupuesto Aprobado'!B39</f>
        <v>0</v>
      </c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44">
        <f t="shared" si="18"/>
        <v>0</v>
      </c>
    </row>
    <row r="41" spans="1:16" x14ac:dyDescent="0.25">
      <c r="A41" s="24" t="s">
        <v>31</v>
      </c>
      <c r="B41" s="44">
        <f>+'P1 Presupuesto Aprobado'!B40</f>
        <v>0</v>
      </c>
      <c r="C41" s="44"/>
      <c r="D41" s="4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44">
        <f t="shared" si="18"/>
        <v>0</v>
      </c>
    </row>
    <row r="42" spans="1:16" x14ac:dyDescent="0.25">
      <c r="A42" s="24" t="s">
        <v>32</v>
      </c>
      <c r="B42" s="44">
        <f>+'P1 Presupuesto Aprobado'!B41</f>
        <v>0</v>
      </c>
      <c r="C42" s="44"/>
      <c r="D42" s="4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44">
        <f t="shared" si="18"/>
        <v>0</v>
      </c>
    </row>
    <row r="43" spans="1:16" x14ac:dyDescent="0.25">
      <c r="A43" s="24" t="s">
        <v>33</v>
      </c>
      <c r="B43" s="44">
        <f>+'P1 Presupuesto Aprobado'!B42</f>
        <v>0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44">
        <f t="shared" si="18"/>
        <v>0</v>
      </c>
    </row>
    <row r="44" spans="1:16" x14ac:dyDescent="0.25">
      <c r="A44" s="24" t="s">
        <v>34</v>
      </c>
      <c r="B44" s="44">
        <f>+'P1 Presupuesto Aprobado'!B43</f>
        <v>0</v>
      </c>
      <c r="C44" s="44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44">
        <f t="shared" si="18"/>
        <v>0</v>
      </c>
    </row>
    <row r="45" spans="1:16" x14ac:dyDescent="0.25">
      <c r="A45" s="24" t="s">
        <v>35</v>
      </c>
      <c r="B45" s="44">
        <f>+'P1 Presupuesto Aprobado'!B44</f>
        <v>0</v>
      </c>
      <c r="C45" s="44"/>
      <c r="D45" s="4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44">
        <f t="shared" si="18"/>
        <v>0</v>
      </c>
    </row>
    <row r="46" spans="1:16" x14ac:dyDescent="0.25">
      <c r="A46" s="26" t="s">
        <v>36</v>
      </c>
      <c r="B46" s="43">
        <f>SUM(B47:B52)</f>
        <v>0</v>
      </c>
      <c r="C46" s="43">
        <f t="shared" ref="C46:P46" si="19">SUM(C47:C52)</f>
        <v>0</v>
      </c>
      <c r="D46" s="43">
        <f t="shared" si="19"/>
        <v>0</v>
      </c>
      <c r="E46" s="27">
        <f t="shared" si="19"/>
        <v>0</v>
      </c>
      <c r="F46" s="27">
        <f t="shared" si="19"/>
        <v>0</v>
      </c>
      <c r="G46" s="27">
        <f t="shared" si="19"/>
        <v>0</v>
      </c>
      <c r="H46" s="27">
        <f t="shared" si="19"/>
        <v>0</v>
      </c>
      <c r="I46" s="27">
        <f t="shared" si="19"/>
        <v>0</v>
      </c>
      <c r="J46" s="27">
        <f t="shared" si="19"/>
        <v>0</v>
      </c>
      <c r="K46" s="27">
        <f t="shared" ref="K46:L46" si="20">SUM(K47:K52)</f>
        <v>0</v>
      </c>
      <c r="L46" s="27">
        <f t="shared" si="20"/>
        <v>0</v>
      </c>
      <c r="M46" s="27">
        <f t="shared" ref="M46:N46" si="21">SUM(M47:M52)</f>
        <v>0</v>
      </c>
      <c r="N46" s="27">
        <f t="shared" si="21"/>
        <v>0</v>
      </c>
      <c r="O46" s="27">
        <f t="shared" ref="O46" si="22">SUM(O47:O52)</f>
        <v>0</v>
      </c>
      <c r="P46" s="27">
        <f t="shared" si="19"/>
        <v>0</v>
      </c>
    </row>
    <row r="47" spans="1:16" x14ac:dyDescent="0.25">
      <c r="A47" s="24" t="s">
        <v>37</v>
      </c>
      <c r="B47" s="44">
        <f>+'P1 Presupuesto Aprobado'!B46</f>
        <v>0</v>
      </c>
      <c r="C47" s="44"/>
      <c r="D47" s="4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ref="P47:P52" si="23">SUM(D47:J47)</f>
        <v>0</v>
      </c>
    </row>
    <row r="48" spans="1:16" x14ac:dyDescent="0.25">
      <c r="A48" s="24" t="s">
        <v>38</v>
      </c>
      <c r="B48" s="44">
        <f>+'P1 Presupuesto Aprobado'!B47</f>
        <v>0</v>
      </c>
      <c r="C48" s="44"/>
      <c r="D48" s="4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23"/>
        <v>0</v>
      </c>
    </row>
    <row r="49" spans="1:18" x14ac:dyDescent="0.25">
      <c r="A49" s="24" t="s">
        <v>39</v>
      </c>
      <c r="B49" s="44">
        <f>+'P1 Presupuesto Aprobado'!B48</f>
        <v>0</v>
      </c>
      <c r="C49" s="44"/>
      <c r="D49" s="4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23"/>
        <v>0</v>
      </c>
    </row>
    <row r="50" spans="1:18" x14ac:dyDescent="0.25">
      <c r="A50" s="24" t="s">
        <v>40</v>
      </c>
      <c r="B50" s="44">
        <f>+'P1 Presupuesto Aprobado'!B49</f>
        <v>0</v>
      </c>
      <c r="C50" s="44"/>
      <c r="D50" s="4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23"/>
        <v>0</v>
      </c>
    </row>
    <row r="51" spans="1:18" x14ac:dyDescent="0.25">
      <c r="A51" s="24" t="s">
        <v>41</v>
      </c>
      <c r="B51" s="44">
        <f>+'P1 Presupuesto Aprobado'!B50</f>
        <v>0</v>
      </c>
      <c r="C51" s="44"/>
      <c r="D51" s="4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>
        <f t="shared" si="23"/>
        <v>0</v>
      </c>
      <c r="R51" s="48"/>
    </row>
    <row r="52" spans="1:18" x14ac:dyDescent="0.25">
      <c r="A52" s="24" t="s">
        <v>42</v>
      </c>
      <c r="B52" s="44">
        <f>+'P1 Presupuesto Aprobado'!B51</f>
        <v>0</v>
      </c>
      <c r="C52" s="44"/>
      <c r="D52" s="4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>
        <f t="shared" si="23"/>
        <v>0</v>
      </c>
    </row>
    <row r="53" spans="1:18" x14ac:dyDescent="0.25">
      <c r="A53" s="26" t="s">
        <v>43</v>
      </c>
      <c r="B53" s="43">
        <f>SUM(B54:B62)</f>
        <v>3587919.56</v>
      </c>
      <c r="C53" s="43">
        <f t="shared" ref="C53:P53" si="24">SUM(C54:C62)</f>
        <v>0</v>
      </c>
      <c r="D53" s="43">
        <f t="shared" si="24"/>
        <v>0</v>
      </c>
      <c r="E53" s="27">
        <f t="shared" si="24"/>
        <v>65708.06</v>
      </c>
      <c r="F53" s="27">
        <f t="shared" si="24"/>
        <v>16751.28</v>
      </c>
      <c r="G53" s="27">
        <f t="shared" si="24"/>
        <v>16558.48</v>
      </c>
      <c r="H53" s="27">
        <f t="shared" si="24"/>
        <v>809897.26</v>
      </c>
      <c r="I53" s="27">
        <f t="shared" si="24"/>
        <v>110314.62</v>
      </c>
      <c r="J53" s="27">
        <f t="shared" si="24"/>
        <v>30200</v>
      </c>
      <c r="K53" s="27">
        <f t="shared" si="24"/>
        <v>110474.91</v>
      </c>
      <c r="L53" s="27">
        <f t="shared" si="24"/>
        <v>96924</v>
      </c>
      <c r="M53" s="27">
        <f t="shared" ref="M53" si="25">SUM(M54:M62)</f>
        <v>1032447.01</v>
      </c>
      <c r="N53" s="27">
        <f t="shared" ref="N53:O53" si="26">SUM(N54:N62)</f>
        <v>0</v>
      </c>
      <c r="O53" s="27">
        <f t="shared" si="26"/>
        <v>0</v>
      </c>
      <c r="P53" s="27">
        <f t="shared" si="24"/>
        <v>2289275.62</v>
      </c>
    </row>
    <row r="54" spans="1:18" x14ac:dyDescent="0.25">
      <c r="A54" s="24" t="s">
        <v>44</v>
      </c>
      <c r="B54" s="44">
        <v>2090063.7</v>
      </c>
      <c r="C54" s="44"/>
      <c r="D54" s="44"/>
      <c r="E54" s="44"/>
      <c r="F54" s="44"/>
      <c r="G54" s="44">
        <v>10800</v>
      </c>
      <c r="H54" s="44">
        <f>101321.02+244143.6+18744.98</f>
        <v>364209.6</v>
      </c>
      <c r="I54" s="44"/>
      <c r="J54" s="44">
        <f>12500+12375+2200</f>
        <v>27075</v>
      </c>
      <c r="K54" s="44">
        <v>19752</v>
      </c>
      <c r="L54" s="44">
        <f>5250+63000</f>
        <v>68250</v>
      </c>
      <c r="M54" s="44">
        <f>95759.45+46771</f>
        <v>142530.45000000001</v>
      </c>
      <c r="N54" s="44"/>
      <c r="O54" s="44"/>
      <c r="P54" s="44">
        <f t="shared" ref="P54:P62" si="27">SUM(D54:O54)</f>
        <v>632617.05000000005</v>
      </c>
    </row>
    <row r="55" spans="1:18" x14ac:dyDescent="0.25">
      <c r="A55" s="24" t="s">
        <v>45</v>
      </c>
      <c r="B55" s="44">
        <v>216485.19</v>
      </c>
      <c r="C55" s="44"/>
      <c r="D55" s="44"/>
      <c r="E55" s="44"/>
      <c r="F55" s="44">
        <v>16751.28</v>
      </c>
      <c r="G55" s="44">
        <v>5758.48</v>
      </c>
      <c r="H55" s="44"/>
      <c r="I55" s="44"/>
      <c r="J55" s="23"/>
      <c r="K55" s="23">
        <v>89962.91</v>
      </c>
      <c r="L55" s="23"/>
      <c r="M55" s="23">
        <f>310856.25+45399.96</f>
        <v>356256.21</v>
      </c>
      <c r="N55" s="23"/>
      <c r="O55" s="23"/>
      <c r="P55" s="44">
        <f t="shared" si="27"/>
        <v>468728.88</v>
      </c>
    </row>
    <row r="56" spans="1:18" x14ac:dyDescent="0.25">
      <c r="A56" s="24" t="s">
        <v>46</v>
      </c>
      <c r="B56" s="44">
        <v>1085668.75</v>
      </c>
      <c r="C56" s="44"/>
      <c r="D56" s="44"/>
      <c r="E56" s="44">
        <v>17186.46</v>
      </c>
      <c r="F56" s="44"/>
      <c r="G56" s="44"/>
      <c r="H56" s="44">
        <f>20660+101483.2+17186.46</f>
        <v>139329.66</v>
      </c>
      <c r="I56" s="44">
        <v>17186.46</v>
      </c>
      <c r="J56" s="44"/>
      <c r="K56" s="44"/>
      <c r="L56" s="44">
        <v>28674</v>
      </c>
      <c r="M56" s="44">
        <f>497222.7+27230.65+9207</f>
        <v>533660.35</v>
      </c>
      <c r="N56" s="44"/>
      <c r="O56" s="44"/>
      <c r="P56" s="44">
        <f t="shared" si="27"/>
        <v>736036.92999999993</v>
      </c>
    </row>
    <row r="57" spans="1:18" x14ac:dyDescent="0.25">
      <c r="A57" s="24" t="s">
        <v>47</v>
      </c>
      <c r="B57" s="44">
        <v>0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>
        <f t="shared" si="27"/>
        <v>0</v>
      </c>
    </row>
    <row r="58" spans="1:18" x14ac:dyDescent="0.25">
      <c r="A58" s="24" t="s">
        <v>48</v>
      </c>
      <c r="B58" s="44">
        <v>195701.92</v>
      </c>
      <c r="C58" s="44"/>
      <c r="D58" s="44"/>
      <c r="E58" s="44"/>
      <c r="F58" s="44"/>
      <c r="G58" s="44"/>
      <c r="H58" s="44">
        <f>260500+26388+19470</f>
        <v>306358</v>
      </c>
      <c r="I58" s="44">
        <v>93128.16</v>
      </c>
      <c r="J58" s="44">
        <v>3125</v>
      </c>
      <c r="K58" s="44">
        <v>760</v>
      </c>
      <c r="L58" s="44"/>
      <c r="M58" s="44"/>
      <c r="N58" s="44"/>
      <c r="O58" s="44"/>
      <c r="P58" s="44">
        <f t="shared" si="27"/>
        <v>403371.16000000003</v>
      </c>
    </row>
    <row r="59" spans="1:18" x14ac:dyDescent="0.25">
      <c r="A59" s="24" t="s">
        <v>49</v>
      </c>
      <c r="B59" s="44"/>
      <c r="C59" s="44"/>
      <c r="D59" s="44"/>
      <c r="E59" s="44">
        <v>48521.599999999999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>
        <f t="shared" si="27"/>
        <v>48521.599999999999</v>
      </c>
    </row>
    <row r="60" spans="1:18" x14ac:dyDescent="0.25">
      <c r="A60" s="24" t="s">
        <v>50</v>
      </c>
      <c r="B60" s="44"/>
      <c r="C60" s="44"/>
      <c r="D60" s="44"/>
      <c r="E60" s="44"/>
      <c r="F60" s="44"/>
      <c r="G60" s="23"/>
      <c r="H60" s="44"/>
      <c r="I60" s="44"/>
      <c r="J60" s="44"/>
      <c r="K60" s="44"/>
      <c r="L60" s="44"/>
      <c r="M60" s="44"/>
      <c r="N60" s="44"/>
      <c r="O60" s="44"/>
      <c r="P60" s="44">
        <f t="shared" si="27"/>
        <v>0</v>
      </c>
    </row>
    <row r="61" spans="1:18" x14ac:dyDescent="0.25">
      <c r="A61" s="24" t="s">
        <v>51</v>
      </c>
      <c r="B61" s="44"/>
      <c r="C61" s="44"/>
      <c r="D61" s="44"/>
      <c r="E61" s="23"/>
      <c r="F61" s="44"/>
      <c r="G61" s="23"/>
      <c r="H61" s="44"/>
      <c r="I61" s="44"/>
      <c r="J61" s="44"/>
      <c r="K61" s="44"/>
      <c r="L61" s="44"/>
      <c r="M61" s="44"/>
      <c r="N61" s="44"/>
      <c r="O61" s="44"/>
      <c r="P61" s="44">
        <f t="shared" si="27"/>
        <v>0</v>
      </c>
    </row>
    <row r="62" spans="1:18" x14ac:dyDescent="0.25">
      <c r="A62" s="24" t="s">
        <v>52</v>
      </c>
      <c r="B62" s="44"/>
      <c r="C62" s="44"/>
      <c r="D62" s="44"/>
      <c r="E62" s="23"/>
      <c r="F62" s="44"/>
      <c r="G62" s="23"/>
      <c r="H62" s="44"/>
      <c r="I62" s="44"/>
      <c r="J62" s="44"/>
      <c r="K62" s="44"/>
      <c r="L62" s="44"/>
      <c r="M62" s="44"/>
      <c r="N62" s="44"/>
      <c r="O62" s="44"/>
      <c r="P62" s="44">
        <f t="shared" si="27"/>
        <v>0</v>
      </c>
    </row>
    <row r="63" spans="1:18" x14ac:dyDescent="0.25">
      <c r="A63" s="26" t="s">
        <v>53</v>
      </c>
      <c r="B63" s="43">
        <f>SUM(B64:B67)</f>
        <v>0</v>
      </c>
      <c r="C63" s="43">
        <f t="shared" ref="C63:P63" si="28">SUM(C64:C67)</f>
        <v>0</v>
      </c>
      <c r="D63" s="43">
        <f t="shared" si="28"/>
        <v>0</v>
      </c>
      <c r="E63" s="27">
        <f t="shared" si="28"/>
        <v>0</v>
      </c>
      <c r="F63" s="27">
        <f t="shared" si="28"/>
        <v>0</v>
      </c>
      <c r="G63" s="27">
        <f t="shared" si="28"/>
        <v>0</v>
      </c>
      <c r="H63" s="27">
        <f t="shared" si="28"/>
        <v>0</v>
      </c>
      <c r="I63" s="27">
        <f t="shared" si="28"/>
        <v>0</v>
      </c>
      <c r="J63" s="27">
        <f t="shared" si="28"/>
        <v>0</v>
      </c>
      <c r="K63" s="27">
        <f t="shared" ref="K63:L63" si="29">SUM(K64:K67)</f>
        <v>0</v>
      </c>
      <c r="L63" s="27">
        <f t="shared" si="29"/>
        <v>0</v>
      </c>
      <c r="M63" s="27">
        <f t="shared" ref="M63:N63" si="30">SUM(M64:M67)</f>
        <v>0</v>
      </c>
      <c r="N63" s="27">
        <f t="shared" si="30"/>
        <v>0</v>
      </c>
      <c r="O63" s="27">
        <f t="shared" ref="O63" si="31">SUM(O64:O67)</f>
        <v>0</v>
      </c>
      <c r="P63" s="27">
        <f t="shared" si="28"/>
        <v>0</v>
      </c>
    </row>
    <row r="64" spans="1:18" x14ac:dyDescent="0.25">
      <c r="A64" s="24" t="s">
        <v>54</v>
      </c>
      <c r="B64" s="44"/>
      <c r="C64" s="44"/>
      <c r="D64" s="44"/>
      <c r="E64" s="23"/>
      <c r="F64" s="23"/>
      <c r="G64" s="44"/>
      <c r="H64" s="23"/>
      <c r="I64" s="23"/>
      <c r="J64" s="23"/>
      <c r="K64" s="23"/>
      <c r="L64" s="23"/>
      <c r="M64" s="23"/>
      <c r="N64" s="23"/>
      <c r="O64" s="23"/>
      <c r="P64" s="23">
        <f>SUM(D64:J64)</f>
        <v>0</v>
      </c>
    </row>
    <row r="65" spans="1:16" x14ac:dyDescent="0.25">
      <c r="A65" s="24" t="s">
        <v>55</v>
      </c>
      <c r="B65" s="44"/>
      <c r="C65" s="44"/>
      <c r="D65" s="4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>SUM(D65:J65)</f>
        <v>0</v>
      </c>
    </row>
    <row r="66" spans="1:16" x14ac:dyDescent="0.25">
      <c r="A66" s="24" t="s">
        <v>56</v>
      </c>
      <c r="B66" s="44"/>
      <c r="C66" s="44"/>
      <c r="D66" s="4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>SUM(D66:J66)</f>
        <v>0</v>
      </c>
    </row>
    <row r="67" spans="1:16" x14ac:dyDescent="0.25">
      <c r="A67" s="24" t="s">
        <v>57</v>
      </c>
      <c r="B67" s="44"/>
      <c r="C67" s="44"/>
      <c r="D67" s="4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>SUM(D67:J67)</f>
        <v>0</v>
      </c>
    </row>
    <row r="68" spans="1:16" x14ac:dyDescent="0.25">
      <c r="A68" s="26" t="s">
        <v>58</v>
      </c>
      <c r="B68" s="43">
        <f>SUM(B69:B75)</f>
        <v>0</v>
      </c>
      <c r="C68" s="43">
        <f t="shared" ref="C68:P68" si="32">SUM(C69:C75)</f>
        <v>0</v>
      </c>
      <c r="D68" s="43">
        <f t="shared" si="32"/>
        <v>0</v>
      </c>
      <c r="E68" s="27">
        <f t="shared" si="32"/>
        <v>0</v>
      </c>
      <c r="F68" s="27">
        <f t="shared" si="32"/>
        <v>0</v>
      </c>
      <c r="G68" s="27">
        <f t="shared" si="32"/>
        <v>0</v>
      </c>
      <c r="H68" s="27">
        <f t="shared" si="32"/>
        <v>0</v>
      </c>
      <c r="I68" s="27">
        <f t="shared" si="32"/>
        <v>0</v>
      </c>
      <c r="J68" s="27">
        <f t="shared" si="32"/>
        <v>0</v>
      </c>
      <c r="K68" s="27">
        <f t="shared" ref="K68:L68" si="33">SUM(K69:K75)</f>
        <v>0</v>
      </c>
      <c r="L68" s="27">
        <f t="shared" si="33"/>
        <v>15366.83</v>
      </c>
      <c r="M68" s="27">
        <f t="shared" ref="M68:N68" si="34">SUM(M69:M75)</f>
        <v>10365.799999999999</v>
      </c>
      <c r="N68" s="27">
        <f t="shared" si="34"/>
        <v>0</v>
      </c>
      <c r="O68" s="27">
        <f t="shared" ref="O68" si="35">SUM(O69:O75)</f>
        <v>0</v>
      </c>
      <c r="P68" s="27">
        <f t="shared" si="32"/>
        <v>25732.629999999997</v>
      </c>
    </row>
    <row r="69" spans="1:16" x14ac:dyDescent="0.25">
      <c r="A69" s="24" t="s">
        <v>59</v>
      </c>
      <c r="B69" s="44"/>
      <c r="C69" s="44"/>
      <c r="D69" s="4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44">
        <f t="shared" ref="P69:P75" si="36">SUM(D69:O69)</f>
        <v>0</v>
      </c>
    </row>
    <row r="70" spans="1:16" x14ac:dyDescent="0.25">
      <c r="A70" s="24" t="s">
        <v>60</v>
      </c>
      <c r="B70" s="44"/>
      <c r="C70" s="44"/>
      <c r="D70" s="4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44">
        <f t="shared" si="36"/>
        <v>0</v>
      </c>
    </row>
    <row r="71" spans="1:16" x14ac:dyDescent="0.25">
      <c r="A71" s="22" t="s">
        <v>61</v>
      </c>
      <c r="B71" s="44"/>
      <c r="C71" s="42"/>
      <c r="D71" s="4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44">
        <f t="shared" si="36"/>
        <v>0</v>
      </c>
    </row>
    <row r="72" spans="1:16" x14ac:dyDescent="0.25">
      <c r="A72" s="24" t="s">
        <v>62</v>
      </c>
      <c r="B72" s="44"/>
      <c r="C72" s="44"/>
      <c r="D72" s="4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44">
        <f t="shared" si="36"/>
        <v>0</v>
      </c>
    </row>
    <row r="73" spans="1:16" x14ac:dyDescent="0.25">
      <c r="A73" s="24" t="s">
        <v>63</v>
      </c>
      <c r="B73" s="44"/>
      <c r="C73" s="44"/>
      <c r="D73" s="4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44">
        <f t="shared" si="36"/>
        <v>0</v>
      </c>
    </row>
    <row r="74" spans="1:16" x14ac:dyDescent="0.25">
      <c r="A74" s="24" t="s">
        <v>64</v>
      </c>
      <c r="B74" s="44">
        <v>0</v>
      </c>
      <c r="C74" s="44"/>
      <c r="D74" s="44"/>
      <c r="E74" s="44"/>
      <c r="F74" s="44"/>
      <c r="G74" s="44"/>
      <c r="H74" s="23"/>
      <c r="I74" s="23"/>
      <c r="J74" s="23"/>
      <c r="K74" s="23"/>
      <c r="L74" s="23">
        <f>15366.23+0.6</f>
        <v>15366.83</v>
      </c>
      <c r="M74" s="23">
        <f>2269.31+8096.49</f>
        <v>10365.799999999999</v>
      </c>
      <c r="N74" s="23"/>
      <c r="O74" s="23"/>
      <c r="P74" s="44">
        <f t="shared" si="36"/>
        <v>25732.629999999997</v>
      </c>
    </row>
    <row r="75" spans="1:16" x14ac:dyDescent="0.25">
      <c r="A75" s="20" t="s">
        <v>69</v>
      </c>
      <c r="B75" s="44"/>
      <c r="C75" s="42"/>
      <c r="D75" s="4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44">
        <f t="shared" si="36"/>
        <v>0</v>
      </c>
    </row>
    <row r="76" spans="1:16" x14ac:dyDescent="0.25">
      <c r="A76" s="26" t="s">
        <v>70</v>
      </c>
      <c r="B76" s="43">
        <f>SUM(B77:B78)</f>
        <v>0</v>
      </c>
      <c r="C76" s="43">
        <f t="shared" ref="C76:P76" si="37">SUM(C77:C78)</f>
        <v>0</v>
      </c>
      <c r="D76" s="43">
        <f t="shared" si="37"/>
        <v>0</v>
      </c>
      <c r="E76" s="27">
        <f t="shared" si="37"/>
        <v>0</v>
      </c>
      <c r="F76" s="27">
        <f t="shared" si="37"/>
        <v>0</v>
      </c>
      <c r="G76" s="27">
        <f t="shared" si="37"/>
        <v>0</v>
      </c>
      <c r="H76" s="27">
        <f t="shared" si="37"/>
        <v>0</v>
      </c>
      <c r="I76" s="27">
        <f t="shared" si="37"/>
        <v>0</v>
      </c>
      <c r="J76" s="27">
        <f t="shared" si="37"/>
        <v>0</v>
      </c>
      <c r="K76" s="27">
        <f t="shared" ref="K76" si="38">SUM(K77:K78)</f>
        <v>0</v>
      </c>
      <c r="L76" s="27">
        <f t="shared" ref="L76" si="39">SUM(L77:L78)</f>
        <v>0</v>
      </c>
      <c r="M76" s="27">
        <f t="shared" ref="M76:N76" si="40">SUM(M77:M78)</f>
        <v>0</v>
      </c>
      <c r="N76" s="27">
        <f t="shared" si="40"/>
        <v>0</v>
      </c>
      <c r="O76" s="27">
        <f t="shared" ref="O76" si="41">SUM(O77:O78)</f>
        <v>0</v>
      </c>
      <c r="P76" s="27">
        <f t="shared" si="37"/>
        <v>0</v>
      </c>
    </row>
    <row r="77" spans="1:16" x14ac:dyDescent="0.25">
      <c r="A77" s="24" t="s">
        <v>71</v>
      </c>
      <c r="B77" s="44"/>
      <c r="C77" s="44"/>
      <c r="D77" s="4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44">
        <f>SUM(D77:O77)</f>
        <v>0</v>
      </c>
    </row>
    <row r="78" spans="1:16" x14ac:dyDescent="0.25">
      <c r="A78" s="24" t="s">
        <v>72</v>
      </c>
      <c r="B78" s="44"/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44">
        <f>SUM(D78:O78)</f>
        <v>0</v>
      </c>
    </row>
    <row r="79" spans="1:16" x14ac:dyDescent="0.25">
      <c r="A79" s="26" t="s">
        <v>73</v>
      </c>
      <c r="B79" s="43">
        <f>SUM(B80:B81)</f>
        <v>0</v>
      </c>
      <c r="C79" s="43">
        <f t="shared" ref="C79:P79" si="42">SUM(C80:C81)</f>
        <v>0</v>
      </c>
      <c r="D79" s="43">
        <f t="shared" si="42"/>
        <v>0</v>
      </c>
      <c r="E79" s="27">
        <f t="shared" si="42"/>
        <v>0</v>
      </c>
      <c r="F79" s="27">
        <f t="shared" si="42"/>
        <v>0</v>
      </c>
      <c r="G79" s="27">
        <f t="shared" si="42"/>
        <v>0</v>
      </c>
      <c r="H79" s="27">
        <f t="shared" si="42"/>
        <v>0</v>
      </c>
      <c r="I79" s="27">
        <f t="shared" si="42"/>
        <v>0</v>
      </c>
      <c r="J79" s="27">
        <f t="shared" si="42"/>
        <v>0</v>
      </c>
      <c r="K79" s="27">
        <f t="shared" ref="K79" si="43">SUM(K80:K81)</f>
        <v>0</v>
      </c>
      <c r="L79" s="27">
        <f t="shared" ref="L79" si="44">SUM(L80:L81)</f>
        <v>0</v>
      </c>
      <c r="M79" s="27">
        <f t="shared" ref="M79:N79" si="45">SUM(M80:M81)</f>
        <v>0</v>
      </c>
      <c r="N79" s="27">
        <f t="shared" si="45"/>
        <v>0</v>
      </c>
      <c r="O79" s="27">
        <f t="shared" ref="O79" si="46">SUM(O80:O81)</f>
        <v>0</v>
      </c>
      <c r="P79" s="27">
        <f t="shared" si="42"/>
        <v>0</v>
      </c>
    </row>
    <row r="80" spans="1:16" x14ac:dyDescent="0.25">
      <c r="A80" s="24" t="s">
        <v>74</v>
      </c>
      <c r="B80" s="44"/>
      <c r="C80" s="44"/>
      <c r="D80" s="4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44">
        <f>SUM(D80:O80)</f>
        <v>0</v>
      </c>
    </row>
    <row r="81" spans="1:16" x14ac:dyDescent="0.25">
      <c r="A81" s="24" t="s">
        <v>75</v>
      </c>
      <c r="B81" s="44"/>
      <c r="C81" s="44"/>
      <c r="D81" s="4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44">
        <f>SUM(D81:O81)</f>
        <v>0</v>
      </c>
    </row>
    <row r="82" spans="1:16" x14ac:dyDescent="0.25">
      <c r="A82" s="26" t="s">
        <v>76</v>
      </c>
      <c r="B82" s="43">
        <f>SUM(B83)</f>
        <v>0</v>
      </c>
      <c r="C82" s="43">
        <f t="shared" ref="C82:P82" si="47">SUM(C83)</f>
        <v>0</v>
      </c>
      <c r="D82" s="43">
        <f t="shared" si="47"/>
        <v>0</v>
      </c>
      <c r="E82" s="27">
        <f t="shared" si="47"/>
        <v>0</v>
      </c>
      <c r="F82" s="27">
        <f t="shared" si="47"/>
        <v>0</v>
      </c>
      <c r="G82" s="27">
        <f t="shared" si="47"/>
        <v>0</v>
      </c>
      <c r="H82" s="27">
        <f t="shared" si="47"/>
        <v>0</v>
      </c>
      <c r="I82" s="27">
        <f t="shared" si="47"/>
        <v>0</v>
      </c>
      <c r="J82" s="27">
        <f t="shared" si="47"/>
        <v>0</v>
      </c>
      <c r="K82" s="27">
        <f t="shared" si="47"/>
        <v>0</v>
      </c>
      <c r="L82" s="27">
        <f t="shared" si="47"/>
        <v>0</v>
      </c>
      <c r="M82" s="27">
        <f t="shared" si="47"/>
        <v>0</v>
      </c>
      <c r="N82" s="27">
        <f t="shared" si="47"/>
        <v>0</v>
      </c>
      <c r="O82" s="27">
        <f t="shared" si="47"/>
        <v>0</v>
      </c>
      <c r="P82" s="27">
        <f t="shared" si="47"/>
        <v>0</v>
      </c>
    </row>
    <row r="83" spans="1:16" x14ac:dyDescent="0.25">
      <c r="A83" s="24" t="s">
        <v>77</v>
      </c>
      <c r="B83" s="44"/>
      <c r="C83" s="44"/>
      <c r="D83" s="4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44">
        <f>SUM(D83:O83)</f>
        <v>0</v>
      </c>
    </row>
    <row r="84" spans="1:16" x14ac:dyDescent="0.25">
      <c r="A84" s="18" t="s">
        <v>65</v>
      </c>
      <c r="B84" s="45">
        <f>+B82+B79+B76+B68+B63+B53+B46+B37+B27+B17+B11</f>
        <v>61072071.540000007</v>
      </c>
      <c r="C84" s="45">
        <f t="shared" ref="C84:P84" si="48">+C82+C79+C76+C68+C63+C53+C46+C37+C27+C17+C11</f>
        <v>0</v>
      </c>
      <c r="D84" s="45">
        <f t="shared" si="48"/>
        <v>417979.51</v>
      </c>
      <c r="E84" s="19">
        <f>+E82+E79+E76+E68+E63+E53+E46+E37+E27+E17+E11</f>
        <v>4718609.9899999993</v>
      </c>
      <c r="F84" s="19">
        <f t="shared" si="48"/>
        <v>4128100.3099999996</v>
      </c>
      <c r="G84" s="19">
        <f t="shared" si="48"/>
        <v>8879669.5700000003</v>
      </c>
      <c r="H84" s="19">
        <f t="shared" si="48"/>
        <v>7260384.1699999999</v>
      </c>
      <c r="I84" s="19">
        <f t="shared" si="48"/>
        <v>8131828.4100000001</v>
      </c>
      <c r="J84" s="19">
        <f t="shared" si="48"/>
        <v>4924127.29</v>
      </c>
      <c r="K84" s="52">
        <f t="shared" ref="K84:L84" si="49">+K82+K79+K76+K68+K63+K53+K46+K37+K27+K17+K11</f>
        <v>6244335.1599999992</v>
      </c>
      <c r="L84" s="19">
        <f t="shared" si="49"/>
        <v>10178900.559999999</v>
      </c>
      <c r="M84" s="52">
        <f t="shared" ref="M84:N84" si="50">+M82+M79+M76+M68+M63+M53+M46+M37+M27+M17+M11</f>
        <v>6761657.1499999994</v>
      </c>
      <c r="N84" s="19">
        <f t="shared" si="50"/>
        <v>0</v>
      </c>
      <c r="O84" s="19">
        <f t="shared" ref="O84" si="51">+O82+O79+O76+O68+O63+O53+O46+O37+O27+O17+O11</f>
        <v>0</v>
      </c>
      <c r="P84" s="19">
        <f t="shared" si="48"/>
        <v>61645592.120000005</v>
      </c>
    </row>
    <row r="86" spans="1:16" ht="15.75" thickBot="1" x14ac:dyDescent="0.3">
      <c r="E86" s="46"/>
      <c r="F86" s="46"/>
      <c r="J86" s="46"/>
      <c r="K86" s="46"/>
      <c r="L86" s="46"/>
      <c r="M86" s="46"/>
      <c r="N86" s="46"/>
      <c r="O86" s="46"/>
    </row>
    <row r="87" spans="1:16" ht="30.75" thickBot="1" x14ac:dyDescent="0.3">
      <c r="A87" s="13" t="s">
        <v>97</v>
      </c>
    </row>
    <row r="88" spans="1:16" ht="30.75" thickBot="1" x14ac:dyDescent="0.3">
      <c r="A88" s="13" t="s">
        <v>98</v>
      </c>
    </row>
    <row r="89" spans="1:16" ht="75.75" thickBot="1" x14ac:dyDescent="0.3">
      <c r="A89" s="14" t="s">
        <v>99</v>
      </c>
    </row>
    <row r="92" spans="1:16" x14ac:dyDescent="0.25">
      <c r="A92" s="28" t="s">
        <v>104</v>
      </c>
      <c r="I92" s="28" t="s">
        <v>107</v>
      </c>
    </row>
    <row r="93" spans="1:16" x14ac:dyDescent="0.25">
      <c r="A93" s="28"/>
      <c r="I93" s="28"/>
    </row>
    <row r="94" spans="1:16" x14ac:dyDescent="0.25">
      <c r="A94" s="28" t="s">
        <v>116</v>
      </c>
      <c r="I94" s="28" t="s">
        <v>109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showGridLines="0" workbookViewId="0">
      <selection activeCell="B12" sqref="B12"/>
    </sheetView>
  </sheetViews>
  <sheetFormatPr baseColWidth="10" defaultColWidth="11.42578125" defaultRowHeight="15" x14ac:dyDescent="0.25"/>
  <cols>
    <col min="1" max="1" width="35.5703125" customWidth="1"/>
    <col min="2" max="2" width="13.42578125" customWidth="1"/>
    <col min="3" max="3" width="6.5703125" bestFit="1" customWidth="1"/>
    <col min="4" max="4" width="10.5703125" bestFit="1" customWidth="1"/>
    <col min="5" max="5" width="12.140625" bestFit="1" customWidth="1"/>
    <col min="6" max="6" width="10.5703125" bestFit="1" customWidth="1"/>
    <col min="7" max="8" width="12.140625" bestFit="1" customWidth="1"/>
    <col min="9" max="9" width="10.5703125" bestFit="1" customWidth="1"/>
    <col min="10" max="10" width="9.5703125" bestFit="1" customWidth="1"/>
    <col min="11" max="11" width="13.42578125" customWidth="1"/>
    <col min="12" max="12" width="12.140625" bestFit="1" customWidth="1"/>
    <col min="13" max="13" width="6.28515625" hidden="1" customWidth="1"/>
    <col min="14" max="14" width="11.28515625" hidden="1" customWidth="1"/>
    <col min="15" max="15" width="13.140625" bestFit="1" customWidth="1"/>
    <col min="16" max="16" width="12.140625" bestFit="1" customWidth="1"/>
  </cols>
  <sheetData>
    <row r="2" spans="1:17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21" customHeight="1" x14ac:dyDescent="0.25">
      <c r="A3" s="63" t="s">
        <v>103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7" ht="15.75" x14ac:dyDescent="0.25">
      <c r="A4" s="67" t="s">
        <v>102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7" ht="15.75" customHeight="1" x14ac:dyDescent="0.25">
      <c r="A5" s="69" t="s">
        <v>100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7" ht="15.75" customHeight="1" x14ac:dyDescent="0.25">
      <c r="A6" s="57" t="s">
        <v>79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8" spans="1:17" ht="25.5" customHeight="1" x14ac:dyDescent="0.25">
      <c r="A8" s="54" t="s">
        <v>66</v>
      </c>
      <c r="B8" s="55" t="s">
        <v>96</v>
      </c>
      <c r="C8" s="70" t="s">
        <v>93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2"/>
    </row>
    <row r="9" spans="1:17" x14ac:dyDescent="0.25">
      <c r="A9" s="65"/>
      <c r="B9" s="66"/>
      <c r="C9" s="16" t="s">
        <v>81</v>
      </c>
      <c r="D9" s="16" t="s">
        <v>82</v>
      </c>
      <c r="E9" s="16" t="s">
        <v>83</v>
      </c>
      <c r="F9" s="16" t="s">
        <v>84</v>
      </c>
      <c r="G9" s="17" t="s">
        <v>85</v>
      </c>
      <c r="H9" s="16" t="s">
        <v>86</v>
      </c>
      <c r="I9" s="17" t="s">
        <v>87</v>
      </c>
      <c r="J9" s="16" t="s">
        <v>88</v>
      </c>
      <c r="K9" s="16" t="s">
        <v>89</v>
      </c>
      <c r="L9" s="16" t="s">
        <v>90</v>
      </c>
      <c r="M9" s="16" t="s">
        <v>91</v>
      </c>
      <c r="N9" s="17" t="s">
        <v>92</v>
      </c>
      <c r="O9" s="16" t="s">
        <v>80</v>
      </c>
    </row>
    <row r="10" spans="1:17" x14ac:dyDescent="0.25">
      <c r="A10" s="20" t="s">
        <v>0</v>
      </c>
      <c r="B10" s="42"/>
      <c r="C10" s="4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9"/>
      <c r="Q10" s="47">
        <f>+P10-L10</f>
        <v>0</v>
      </c>
    </row>
    <row r="11" spans="1:17" x14ac:dyDescent="0.25">
      <c r="A11" s="26" t="s">
        <v>17</v>
      </c>
      <c r="B11" s="43">
        <f t="shared" ref="B11:O11" si="0">SUM(B12:B12)</f>
        <v>10545147.74</v>
      </c>
      <c r="C11" s="43">
        <f t="shared" si="0"/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27">
        <f t="shared" si="0"/>
        <v>0</v>
      </c>
    </row>
    <row r="12" spans="1:17" x14ac:dyDescent="0.25">
      <c r="A12" s="24" t="s">
        <v>21</v>
      </c>
      <c r="B12" s="44">
        <f>+'P1 Presupuesto Aprobado'!B30</f>
        <v>10545147.74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4" spans="1:17" ht="15.75" thickBot="1" x14ac:dyDescent="0.3">
      <c r="I14" s="46"/>
    </row>
    <row r="15" spans="1:17" ht="45.75" thickBot="1" x14ac:dyDescent="0.3">
      <c r="A15" s="13" t="s">
        <v>97</v>
      </c>
    </row>
    <row r="16" spans="1:17" ht="60.75" thickBot="1" x14ac:dyDescent="0.3">
      <c r="A16" s="13" t="s">
        <v>98</v>
      </c>
    </row>
    <row r="17" spans="1:6" ht="150.75" thickBot="1" x14ac:dyDescent="0.3">
      <c r="A17" s="14" t="s">
        <v>99</v>
      </c>
    </row>
    <row r="19" spans="1:6" x14ac:dyDescent="0.25">
      <c r="F19" s="28"/>
    </row>
    <row r="20" spans="1:6" x14ac:dyDescent="0.25">
      <c r="A20" s="28" t="s">
        <v>104</v>
      </c>
      <c r="F20" s="28"/>
    </row>
    <row r="21" spans="1:6" x14ac:dyDescent="0.25">
      <c r="A21" s="28" t="s">
        <v>105</v>
      </c>
      <c r="F21" s="28"/>
    </row>
    <row r="22" spans="1:6" x14ac:dyDescent="0.25">
      <c r="A22" s="28" t="s">
        <v>106</v>
      </c>
    </row>
  </sheetData>
  <mergeCells count="8">
    <mergeCell ref="A8:A9"/>
    <mergeCell ref="B8:B9"/>
    <mergeCell ref="C8:O8"/>
    <mergeCell ref="A2:O2"/>
    <mergeCell ref="A3:O3"/>
    <mergeCell ref="A4:O4"/>
    <mergeCell ref="A5:O5"/>
    <mergeCell ref="A6:O6"/>
  </mergeCells>
  <pageMargins left="0.31496062992125984" right="0.11811023622047245" top="0.15748031496062992" bottom="0.15748031496062992" header="0.31496062992125984" footer="0.31496062992125984"/>
  <pageSetup scale="7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9" t="s">
        <v>78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3:17" ht="21" customHeight="1" x14ac:dyDescent="0.25">
      <c r="C4" s="73" t="s">
        <v>67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3:17" ht="15.75" x14ac:dyDescent="0.25">
      <c r="C5" s="75" t="s">
        <v>68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3:17" ht="15.75" customHeight="1" x14ac:dyDescent="0.25">
      <c r="C6" s="77" t="s">
        <v>94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3:17" ht="15.75" customHeight="1" x14ac:dyDescent="0.25">
      <c r="C7" s="78" t="s">
        <v>79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P1 Presupuesto Aprobado</vt:lpstr>
      <vt:lpstr>P2 Presupuesto Aprobado-Ejec </vt:lpstr>
      <vt:lpstr>P2 Presupuesto Aprobado-Eje (2</vt:lpstr>
      <vt:lpstr>P3 Ejecucion </vt:lpstr>
      <vt:lpstr>'P2 Presupuesto Aprobado-Eje (2'!Área_de_impresión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2025-02-04T18:08:01Z</cp:lastPrinted>
  <dcterms:created xsi:type="dcterms:W3CDTF">2021-07-29T18:58:50Z</dcterms:created>
  <dcterms:modified xsi:type="dcterms:W3CDTF">2025-11-04T18:01:12Z</dcterms:modified>
</cp:coreProperties>
</file>