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755" activeTab="2"/>
  </bookViews>
  <sheets>
    <sheet name="OBLIGACIONES" sheetId="1" r:id="rId1"/>
    <sheet name="ORIGEN INGRESOS HOSP-" sheetId="2" r:id="rId2"/>
    <sheet name="SERVICIOS PRESTADOS" sheetId="8" r:id="rId3"/>
    <sheet name="COMPROMISO DE DEUDA" sheetId="9" r:id="rId4"/>
  </sheets>
  <externalReferences>
    <externalReference r:id="rId5"/>
    <externalReference r:id="rId6"/>
  </externalReferences>
  <definedNames>
    <definedName name="Años">[1]Hoja2!$J$4:$J$5</definedName>
    <definedName name="JULIA" localSheetId="2">#REF!</definedName>
    <definedName name="JULIA">#REF!</definedName>
    <definedName name="Meses">[1]Hoja2!$K$4:$K$15</definedName>
    <definedName name="NOMBRE" localSheetId="2">#REF!</definedName>
    <definedName name="NOMBRE">#REF!</definedName>
    <definedName name="ORS" localSheetId="2">#REF!</definedName>
    <definedName name="ORS">#REF!</definedName>
    <definedName name="Región">'[2]Criterios - No tocar'!$B$1:$K$1</definedName>
    <definedName name="Regiones">[1]Hoja2!$C$4:$C$12</definedName>
    <definedName name="Trimestre">'[2]Criterios - No tocar'!$M$2:$M$6</definedName>
  </definedNames>
  <calcPr calcId="144525"/>
</workbook>
</file>

<file path=xl/calcChain.xml><?xml version="1.0" encoding="utf-8"?>
<calcChain xmlns="http://schemas.openxmlformats.org/spreadsheetml/2006/main">
  <c r="K24" i="8" l="1"/>
  <c r="U20" i="8"/>
  <c r="T20" i="8"/>
  <c r="S20" i="8"/>
  <c r="R20" i="8"/>
  <c r="Q20" i="8"/>
  <c r="P20" i="8"/>
  <c r="O20" i="8"/>
  <c r="N20" i="8"/>
  <c r="M20" i="8"/>
  <c r="L20" i="8"/>
  <c r="K20" i="8"/>
  <c r="E9" i="2" l="1"/>
  <c r="E28" i="2" s="1"/>
  <c r="U75" i="9" l="1"/>
  <c r="U88" i="9"/>
  <c r="U65" i="9"/>
  <c r="U140" i="9"/>
  <c r="U30" i="9"/>
  <c r="U57" i="9"/>
  <c r="U29" i="9"/>
  <c r="U147" i="9"/>
  <c r="U59" i="9"/>
  <c r="T131" i="9" l="1"/>
  <c r="R144" i="9"/>
  <c r="T34" i="9"/>
  <c r="T88" i="9" l="1"/>
  <c r="S88" i="9"/>
  <c r="R88" i="9"/>
  <c r="Q88" i="9"/>
  <c r="P88" i="9"/>
  <c r="U112" i="9" l="1"/>
  <c r="U55" i="9"/>
  <c r="S138" i="9" l="1"/>
  <c r="U41" i="9" l="1"/>
  <c r="S57" i="9"/>
  <c r="T128" i="9"/>
  <c r="T146" i="9"/>
  <c r="R114" i="9"/>
  <c r="T148" i="9" l="1"/>
  <c r="R37" i="9"/>
  <c r="T112" i="9"/>
  <c r="S133" i="9"/>
  <c r="T48" i="9"/>
  <c r="Q63" i="9"/>
  <c r="T147" i="9"/>
  <c r="V149" i="9" l="1"/>
  <c r="V150" i="9"/>
  <c r="V151" i="9"/>
  <c r="V152" i="9"/>
  <c r="F153" i="9"/>
  <c r="G153" i="9"/>
  <c r="H153" i="9"/>
  <c r="I153" i="9"/>
  <c r="J153" i="9"/>
  <c r="K153" i="9"/>
  <c r="L153" i="9"/>
  <c r="M153" i="9"/>
  <c r="N153" i="9"/>
  <c r="O153" i="9"/>
  <c r="P153" i="9"/>
  <c r="Q153" i="9"/>
  <c r="R153" i="9"/>
  <c r="S153" i="9"/>
  <c r="T153" i="9"/>
  <c r="U153" i="9"/>
  <c r="E153" i="9"/>
  <c r="T32" i="9" l="1"/>
  <c r="T75" i="9"/>
  <c r="S75" i="9" l="1"/>
  <c r="T145" i="9"/>
  <c r="T30" i="9"/>
  <c r="R112" i="9"/>
  <c r="O112" i="9"/>
  <c r="T42" i="9"/>
  <c r="S56" i="9"/>
  <c r="S53" i="9"/>
  <c r="S35" i="9"/>
  <c r="S140" i="9"/>
  <c r="S76" i="9"/>
  <c r="V10" i="9" l="1"/>
  <c r="V11" i="9"/>
  <c r="V12" i="9"/>
  <c r="V13" i="9"/>
  <c r="V14" i="9"/>
  <c r="V15" i="9"/>
  <c r="V16" i="9"/>
  <c r="V17" i="9"/>
  <c r="V18" i="9"/>
  <c r="V19" i="9"/>
  <c r="V20" i="9"/>
  <c r="V21" i="9"/>
  <c r="V22" i="9"/>
  <c r="V23" i="9"/>
  <c r="V24" i="9"/>
  <c r="V25" i="9"/>
  <c r="V26" i="9"/>
  <c r="V27" i="9"/>
  <c r="V28" i="9"/>
  <c r="V29" i="9"/>
  <c r="V30" i="9"/>
  <c r="V31" i="9"/>
  <c r="V32" i="9"/>
  <c r="V33" i="9"/>
  <c r="V34" i="9"/>
  <c r="V35" i="9"/>
  <c r="V36" i="9"/>
  <c r="V37" i="9"/>
  <c r="V38" i="9"/>
  <c r="V39" i="9"/>
  <c r="V40" i="9"/>
  <c r="V41" i="9"/>
  <c r="V42" i="9"/>
  <c r="V43" i="9"/>
  <c r="V44" i="9"/>
  <c r="V45" i="9"/>
  <c r="V46" i="9"/>
  <c r="V47" i="9"/>
  <c r="V48" i="9"/>
  <c r="V49" i="9"/>
  <c r="V50" i="9"/>
  <c r="V51" i="9"/>
  <c r="V52" i="9"/>
  <c r="V53" i="9"/>
  <c r="V54" i="9"/>
  <c r="V55" i="9"/>
  <c r="V56" i="9"/>
  <c r="V57" i="9"/>
  <c r="V58" i="9"/>
  <c r="V59" i="9"/>
  <c r="V60" i="9"/>
  <c r="V61" i="9"/>
  <c r="V62" i="9"/>
  <c r="V63" i="9"/>
  <c r="V64" i="9"/>
  <c r="V65" i="9"/>
  <c r="V66" i="9"/>
  <c r="V67" i="9"/>
  <c r="V68" i="9"/>
  <c r="V69" i="9"/>
  <c r="V70" i="9"/>
  <c r="V71" i="9"/>
  <c r="V72" i="9"/>
  <c r="V73" i="9"/>
  <c r="V74" i="9"/>
  <c r="V75" i="9"/>
  <c r="V76" i="9"/>
  <c r="V77" i="9"/>
  <c r="V78" i="9"/>
  <c r="V79" i="9"/>
  <c r="V80" i="9"/>
  <c r="V81" i="9"/>
  <c r="V82" i="9"/>
  <c r="V83" i="9"/>
  <c r="V84" i="9"/>
  <c r="V85" i="9"/>
  <c r="V86" i="9"/>
  <c r="V87" i="9"/>
  <c r="V88" i="9"/>
  <c r="V89" i="9"/>
  <c r="V90" i="9"/>
  <c r="V91" i="9"/>
  <c r="V92" i="9"/>
  <c r="V93" i="9"/>
  <c r="V94" i="9"/>
  <c r="V95" i="9"/>
  <c r="V96" i="9"/>
  <c r="V97" i="9"/>
  <c r="V98" i="9"/>
  <c r="V99" i="9"/>
  <c r="V100" i="9"/>
  <c r="V101" i="9"/>
  <c r="V102" i="9"/>
  <c r="V103" i="9"/>
  <c r="V104" i="9"/>
  <c r="V105" i="9"/>
  <c r="V106" i="9"/>
  <c r="V107" i="9"/>
  <c r="V108" i="9"/>
  <c r="V109" i="9"/>
  <c r="V110" i="9"/>
  <c r="V111" i="9"/>
  <c r="V112" i="9"/>
  <c r="V113" i="9"/>
  <c r="V114" i="9"/>
  <c r="V115" i="9"/>
  <c r="V116" i="9"/>
  <c r="V117" i="9"/>
  <c r="V118" i="9"/>
  <c r="V119" i="9"/>
  <c r="V120" i="9"/>
  <c r="V121" i="9"/>
  <c r="V122" i="9"/>
  <c r="V123" i="9"/>
  <c r="V124" i="9"/>
  <c r="V125" i="9"/>
  <c r="V126" i="9"/>
  <c r="V127" i="9"/>
  <c r="V128" i="9"/>
  <c r="V129" i="9"/>
  <c r="V130" i="9"/>
  <c r="V131" i="9"/>
  <c r="V132" i="9"/>
  <c r="V133" i="9"/>
  <c r="V134" i="9"/>
  <c r="V135" i="9"/>
  <c r="V136" i="9"/>
  <c r="V137" i="9"/>
  <c r="V138" i="9"/>
  <c r="V139" i="9"/>
  <c r="V140" i="9"/>
  <c r="V141" i="9"/>
  <c r="V142" i="9"/>
  <c r="V143" i="9"/>
  <c r="V144" i="9"/>
  <c r="V145" i="9"/>
  <c r="V146" i="9"/>
  <c r="V147" i="9"/>
  <c r="V148" i="9"/>
  <c r="V9" i="9"/>
  <c r="V153" i="9" l="1"/>
  <c r="P58" i="9"/>
  <c r="T29" i="9" l="1"/>
  <c r="T82" i="9" l="1"/>
  <c r="R75" i="9" l="1"/>
  <c r="Q75" i="9"/>
  <c r="S65" i="9" l="1"/>
  <c r="R65" i="9"/>
  <c r="Q65" i="9"/>
  <c r="P65" i="9"/>
  <c r="S130" i="9"/>
  <c r="S33" i="9"/>
  <c r="S30" i="9" l="1"/>
  <c r="R30" i="9"/>
  <c r="Q30" i="9" l="1"/>
  <c r="R54" i="9"/>
  <c r="T89" i="9"/>
  <c r="R74" i="9"/>
  <c r="S112" i="9" l="1"/>
  <c r="S48" i="9" l="1"/>
  <c r="S119" i="9"/>
  <c r="S54" i="9"/>
  <c r="S43" i="9"/>
  <c r="R43" i="9"/>
  <c r="Q43" i="9"/>
  <c r="R32" i="9"/>
  <c r="S42" i="9"/>
  <c r="S70" i="9"/>
  <c r="S34" i="9" l="1"/>
  <c r="R70" i="9" l="1"/>
  <c r="Q70" i="9"/>
  <c r="S55" i="9"/>
  <c r="P55" i="9"/>
  <c r="O55" i="9"/>
  <c r="P136" i="9" l="1"/>
  <c r="E19" i="1" l="1"/>
  <c r="O35" i="9" l="1"/>
  <c r="R142" i="9" l="1"/>
  <c r="S128" i="9"/>
  <c r="P141" i="9"/>
  <c r="N56" i="9"/>
  <c r="S29" i="9" l="1"/>
  <c r="S81" i="9" l="1"/>
  <c r="R131" i="9" l="1"/>
  <c r="R128" i="9"/>
  <c r="R42" i="9"/>
  <c r="R34" i="9" l="1"/>
  <c r="Q112" i="9"/>
  <c r="P59" i="9"/>
  <c r="P133" i="9" l="1"/>
  <c r="Q133" i="9"/>
  <c r="Q29" i="9" l="1"/>
  <c r="R29" i="9"/>
  <c r="R140" i="9" l="1"/>
  <c r="P140" i="9"/>
  <c r="Q60" i="9"/>
  <c r="S73" i="9"/>
  <c r="Q142" i="9"/>
  <c r="R73" i="9"/>
  <c r="P73" i="9"/>
  <c r="Q32" i="9" l="1"/>
  <c r="P101" i="9"/>
  <c r="N121" i="9" l="1"/>
  <c r="M121" i="9"/>
  <c r="R138" i="9"/>
  <c r="Q138" i="9"/>
  <c r="O52" i="9"/>
  <c r="Q107" i="9"/>
  <c r="R129" i="9" l="1"/>
  <c r="Q89" i="9"/>
  <c r="R48" i="9" l="1"/>
  <c r="Q48" i="9"/>
  <c r="O57" i="9"/>
  <c r="K29" i="9"/>
  <c r="Q50" i="9"/>
  <c r="P30" i="9" l="1"/>
  <c r="Q38" i="9" l="1"/>
  <c r="N34" i="9"/>
  <c r="R72" i="9"/>
  <c r="R71" i="9"/>
  <c r="P75" i="9" l="1"/>
  <c r="P50" i="9" l="1"/>
  <c r="P37" i="9"/>
  <c r="N133" i="9"/>
  <c r="P43" i="9"/>
  <c r="N43" i="9"/>
  <c r="P112" i="9" l="1"/>
  <c r="Q42" i="9" l="1"/>
  <c r="O102" i="9" l="1"/>
  <c r="N102" i="9"/>
  <c r="O136" i="9"/>
  <c r="N136" i="9"/>
  <c r="Q128" i="9" l="1"/>
  <c r="N50" i="9"/>
  <c r="N119" i="9" l="1"/>
  <c r="Q55" i="9" l="1"/>
  <c r="N55" i="9"/>
  <c r="O75" i="9" l="1"/>
  <c r="N75" i="9"/>
  <c r="P41" i="9" l="1"/>
  <c r="Q143" i="9" l="1"/>
  <c r="P42" i="9" l="1"/>
  <c r="P72" i="9"/>
  <c r="P32" i="9"/>
  <c r="N32" i="9"/>
  <c r="O88" i="9" l="1"/>
  <c r="N88" i="9"/>
  <c r="O70" i="9"/>
  <c r="M70" i="9"/>
  <c r="L75" i="9" l="1"/>
  <c r="K75" i="9"/>
  <c r="K76" i="9"/>
  <c r="N52" i="9"/>
  <c r="N112" i="9"/>
  <c r="P74" i="9" l="1"/>
  <c r="P138" i="9"/>
  <c r="O73" i="9" l="1"/>
  <c r="O65" i="9"/>
  <c r="M52" i="9"/>
  <c r="O34" i="9"/>
  <c r="P34" i="9"/>
  <c r="O50" i="9" l="1"/>
  <c r="P48" i="9"/>
  <c r="O48" i="9"/>
  <c r="O30" i="9"/>
  <c r="O71" i="9" l="1"/>
  <c r="O72" i="9" l="1"/>
  <c r="O123" i="9" l="1"/>
  <c r="N111" i="9"/>
  <c r="P128" i="9" l="1"/>
  <c r="P134" i="9"/>
  <c r="N139" i="9" l="1"/>
  <c r="P81" i="9" l="1"/>
  <c r="M32" i="9" l="1"/>
  <c r="M88" i="9" l="1"/>
  <c r="N53" i="9"/>
  <c r="L56" i="9"/>
  <c r="M122" i="9"/>
  <c r="L122" i="9"/>
  <c r="M75" i="9" l="1"/>
  <c r="O42" i="9"/>
  <c r="M55" i="9" l="1"/>
  <c r="K55" i="9"/>
  <c r="L55" i="9"/>
  <c r="N132" i="9"/>
  <c r="N131" i="9" l="1"/>
  <c r="L76" i="9" l="1"/>
  <c r="M58" i="9"/>
  <c r="K58" i="9"/>
  <c r="M102" i="9"/>
  <c r="N67" i="9"/>
  <c r="K108" i="9"/>
  <c r="K112" i="9"/>
  <c r="O130" i="9"/>
  <c r="N59" i="9" l="1"/>
  <c r="N73" i="9"/>
  <c r="M73" i="9"/>
  <c r="K38" i="9" l="1"/>
  <c r="N48" i="9" l="1"/>
  <c r="M48" i="9"/>
  <c r="L50" i="9" l="1"/>
  <c r="N74" i="9"/>
  <c r="O128" i="9"/>
  <c r="O137" i="9" l="1"/>
  <c r="K50" i="9" l="1"/>
  <c r="M43" i="9"/>
  <c r="K35" i="9" l="1"/>
  <c r="M112" i="9"/>
  <c r="M65" i="9" l="1"/>
  <c r="L65" i="9"/>
  <c r="K65" i="9"/>
  <c r="N42" i="9" l="1"/>
  <c r="N135" i="9" l="1"/>
  <c r="M100" i="9" l="1"/>
  <c r="O134" i="9"/>
  <c r="N128" i="9"/>
  <c r="G894" i="9" l="1"/>
  <c r="L92" i="9" l="1"/>
  <c r="N31" i="9" l="1"/>
  <c r="L30" i="9"/>
  <c r="K30" i="9"/>
  <c r="K52" i="9" l="1"/>
  <c r="K54" i="9"/>
  <c r="M34" i="9"/>
  <c r="L34" i="9"/>
  <c r="L88" i="9"/>
  <c r="K88" i="9"/>
  <c r="L112" i="9" l="1"/>
  <c r="M42" i="9"/>
  <c r="L121" i="9"/>
  <c r="M111" i="9" l="1"/>
  <c r="L111" i="9"/>
  <c r="K125" i="9" l="1"/>
  <c r="N30" i="9" l="1"/>
  <c r="M53" i="9"/>
  <c r="M119" i="9"/>
  <c r="L32" i="9" l="1"/>
  <c r="M123" i="9"/>
  <c r="M59" i="9" l="1"/>
  <c r="L59" i="9"/>
  <c r="M128" i="9" l="1"/>
  <c r="K70" i="9"/>
  <c r="L127" i="9"/>
  <c r="K34" i="9" l="1"/>
  <c r="K73" i="9"/>
  <c r="L73" i="9"/>
  <c r="K53" i="9"/>
  <c r="M130" i="9"/>
  <c r="K124" i="9" l="1"/>
  <c r="K106" i="9" l="1"/>
  <c r="L74" i="9" l="1"/>
  <c r="L37" i="9"/>
  <c r="K32" i="9"/>
  <c r="M129" i="9"/>
  <c r="L41" i="9" l="1"/>
  <c r="L42" i="9"/>
  <c r="L89" i="9"/>
  <c r="L128" i="9"/>
  <c r="L48" i="9"/>
  <c r="K43" i="9" l="1"/>
  <c r="K121" i="9" l="1"/>
  <c r="K126" i="9" l="1"/>
  <c r="K10" i="9" l="1"/>
  <c r="K33" i="9" l="1"/>
  <c r="K59" i="9"/>
  <c r="K48" i="9"/>
  <c r="K122" i="9"/>
  <c r="K113" i="9"/>
  <c r="K123" i="9"/>
  <c r="K42" i="9" l="1"/>
  <c r="K111" i="9" l="1"/>
  <c r="K81" i="9" l="1"/>
  <c r="K57" i="9" l="1"/>
  <c r="K72" i="9" l="1"/>
  <c r="K86" i="9" l="1"/>
  <c r="K74" i="9"/>
  <c r="K78" i="9" l="1"/>
  <c r="K97" i="9" l="1"/>
  <c r="K120" i="9" l="1"/>
  <c r="K102" i="9" l="1"/>
  <c r="J29" i="9" l="1"/>
  <c r="K94" i="9"/>
  <c r="K71" i="9" l="1"/>
  <c r="K83" i="9" l="1"/>
  <c r="K116" i="9" l="1"/>
  <c r="K115" i="9"/>
  <c r="K114" i="9"/>
  <c r="K110" i="9"/>
  <c r="K109" i="9"/>
  <c r="K107" i="9"/>
  <c r="K105" i="9"/>
  <c r="K104" i="9"/>
  <c r="K103" i="9"/>
  <c r="K101" i="9"/>
  <c r="K100" i="9"/>
  <c r="K99" i="9"/>
  <c r="K98" i="9"/>
  <c r="K96" i="9"/>
  <c r="K93" i="9"/>
  <c r="K84" i="9"/>
  <c r="K80" i="9"/>
  <c r="K67" i="9"/>
  <c r="K66" i="9"/>
  <c r="K64" i="9"/>
  <c r="K63" i="9"/>
  <c r="K62" i="9"/>
  <c r="K61" i="9"/>
  <c r="J61" i="9"/>
  <c r="K60" i="9"/>
  <c r="K56" i="9"/>
  <c r="K51" i="9"/>
  <c r="J51" i="9"/>
  <c r="I48" i="9"/>
  <c r="K47" i="9"/>
  <c r="J47" i="9"/>
  <c r="K46" i="9"/>
  <c r="K45" i="9"/>
  <c r="J45" i="9"/>
  <c r="K44" i="9"/>
  <c r="J43" i="9"/>
  <c r="K41" i="9"/>
  <c r="J41" i="9"/>
  <c r="K39" i="9"/>
  <c r="K37" i="9"/>
  <c r="K36" i="9"/>
  <c r="J36" i="9"/>
  <c r="J33" i="9"/>
  <c r="K31" i="9"/>
  <c r="I29" i="9"/>
  <c r="E17" i="9"/>
  <c r="J10" i="9"/>
</calcChain>
</file>

<file path=xl/comments1.xml><?xml version="1.0" encoding="utf-8"?>
<comments xmlns="http://schemas.openxmlformats.org/spreadsheetml/2006/main">
  <authors>
    <author>Libanesa Feliz</author>
    <author>Mayelin Mendez</author>
  </authors>
  <commentList>
    <comment ref="G11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IDENTIFICAR SI ES -
- CONTRATADO
-COMPENSACION
- TENPORAL
- CUBRE VACACIONES
- CUBRE LICENCIAS </t>
        </r>
      </text>
    </comment>
    <comment ref="H11" authorId="1">
      <text>
        <r>
          <rPr>
            <b/>
            <sz val="9"/>
            <color indexed="81"/>
            <rFont val="Tahoma"/>
            <family val="2"/>
          </rPr>
          <t>Mayelin Mendez:</t>
        </r>
        <r>
          <rPr>
            <sz val="9"/>
            <color indexed="81"/>
            <rFont val="Tahoma"/>
            <family val="2"/>
          </rPr>
          <t xml:space="preserve">
Identificar grupo ocupacional:
I- Servicios Generales
II- Supervision y Apoyo
III- Tecnicos
IV- Profesionales
 </t>
        </r>
      </text>
    </comment>
    <comment ref="I11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en caso de no tener contrato, debe igual colocar la fecha en la incio a laborar en el centro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CUANDO FINALIXA EL CONTRATO</t>
        </r>
      </text>
    </comment>
  </commentList>
</comments>
</file>

<file path=xl/sharedStrings.xml><?xml version="1.0" encoding="utf-8"?>
<sst xmlns="http://schemas.openxmlformats.org/spreadsheetml/2006/main" count="626" uniqueCount="412">
  <si>
    <t>SERVICIO REGIONAL DE SALUD</t>
  </si>
  <si>
    <t>DIRECCIÓN DE FISCALIZACIÓN Y CONTROL</t>
  </si>
  <si>
    <t>A</t>
  </si>
  <si>
    <t>B</t>
  </si>
  <si>
    <t>C</t>
  </si>
  <si>
    <t>D</t>
  </si>
  <si>
    <t>E</t>
  </si>
  <si>
    <t>F</t>
  </si>
  <si>
    <t>PERÍODO</t>
  </si>
  <si>
    <t>MONTO</t>
  </si>
  <si>
    <t>PROMESE CAL</t>
  </si>
  <si>
    <t>PRÉSTAMOS Y/O ANTICIPOS FINANCIEROS OTORGADOS POR SENASA</t>
  </si>
  <si>
    <t>TOTAL</t>
  </si>
  <si>
    <r>
      <rPr>
        <b/>
        <sz val="12"/>
        <color theme="1"/>
        <rFont val="Calibri"/>
        <family val="2"/>
        <scheme val="minor"/>
      </rPr>
      <t>Nota</t>
    </r>
    <r>
      <rPr>
        <sz val="12"/>
        <color theme="1"/>
        <rFont val="Calibri"/>
        <family val="2"/>
        <scheme val="minor"/>
      </rPr>
      <t>. En el caso de las columnas D, E y F, solo aplican para llenado de los préstamos otogados por SENASA.</t>
    </r>
  </si>
  <si>
    <t xml:space="preserve">                                                                                        ___________________________________________</t>
  </si>
  <si>
    <t xml:space="preserve">SEGURIDAD SOCIAL </t>
  </si>
  <si>
    <t>PRESTACIONES LABORALES</t>
  </si>
  <si>
    <t>VIATICOS</t>
  </si>
  <si>
    <t>TIPO</t>
  </si>
  <si>
    <t>STATUS PRESTAMO</t>
  </si>
  <si>
    <t>MONTO ORIGEN</t>
  </si>
  <si>
    <t>MONTO AMORTIZADO</t>
  </si>
  <si>
    <t>BALANCE PENDIENTE</t>
  </si>
  <si>
    <t>DESDE</t>
  </si>
  <si>
    <t>HASTA</t>
  </si>
  <si>
    <t xml:space="preserve">Servicio Nacional de Salud </t>
  </si>
  <si>
    <t xml:space="preserve">Dirección de Fiscalización y Control </t>
  </si>
  <si>
    <t>ARS</t>
  </si>
  <si>
    <t>SALUD SEGURA</t>
  </si>
  <si>
    <t>UNIVERSAL</t>
  </si>
  <si>
    <t>MONUMENTAL</t>
  </si>
  <si>
    <t>FUTURO</t>
  </si>
  <si>
    <t>HUMANO</t>
  </si>
  <si>
    <t xml:space="preserve">Sub-Total </t>
  </si>
  <si>
    <t xml:space="preserve">Cafetería </t>
  </si>
  <si>
    <t xml:space="preserve">Total General </t>
  </si>
  <si>
    <t>Anticipo Financiero</t>
  </si>
  <si>
    <t>PALIC</t>
  </si>
  <si>
    <t>FONDO REPONIBLE</t>
  </si>
  <si>
    <t>Odontologia (facturacion servicios no contemplado en Plan Basico)</t>
  </si>
  <si>
    <t>Odontología (subsidio SeNaSa)</t>
  </si>
  <si>
    <t>Alquiler de espacios internos a terceros</t>
  </si>
  <si>
    <t>Aportes provenientes de convenios Institucionales</t>
  </si>
  <si>
    <t xml:space="preserve">Preparado por: </t>
  </si>
  <si>
    <t xml:space="preserve">Revisado por: </t>
  </si>
  <si>
    <t xml:space="preserve">Aprobado por:  </t>
  </si>
  <si>
    <t>SENASA SUBSIDIADO</t>
  </si>
  <si>
    <t>SENASA CONTRIBUTIVO</t>
  </si>
  <si>
    <t>Otros ingresos no identificados precedentemente</t>
  </si>
  <si>
    <t xml:space="preserve">SERVICIO NACIONAL DE SALUD </t>
  </si>
  <si>
    <t>NO</t>
  </si>
  <si>
    <t xml:space="preserve">DIRECCION DE FISCALIZACION Y CONTROL </t>
  </si>
  <si>
    <t xml:space="preserve">NOMBRES PROVEEDOR  </t>
  </si>
  <si>
    <t>FUENTE DE FINANCIAMIENTO</t>
  </si>
  <si>
    <t>MONTO AÑOS ANTERIORES</t>
  </si>
  <si>
    <t>Otros Aportes</t>
  </si>
  <si>
    <t>RETENCIONES DE IMPUESTOS (DGII)</t>
  </si>
  <si>
    <t>APROVISIONAMIENTOS DE INCENTIVOS</t>
  </si>
  <si>
    <t>APROVISIONAMIENTO DE REGALIA PASCUAL</t>
  </si>
  <si>
    <t>COMPRA DE MEDICAMENTOS</t>
  </si>
  <si>
    <t>HOSPITAL INMACULADA CONCEPCION</t>
  </si>
  <si>
    <t>MINIMARKET CHIQUI</t>
  </si>
  <si>
    <t>COMPRA DE PROVISIONES</t>
  </si>
  <si>
    <t>OGYM</t>
  </si>
  <si>
    <t>COMPRA DE OXIGENO</t>
  </si>
  <si>
    <t xml:space="preserve">ORTRO CHEMICAL </t>
  </si>
  <si>
    <t>COMP. MATERIALES DE LIMPIEZA</t>
  </si>
  <si>
    <t>COMP. MATERIAL GAST. QUIR.</t>
  </si>
  <si>
    <t>ROSARIO SANCHEZ FARMACEUTICA, SRL</t>
  </si>
  <si>
    <t>LAMBDA DIAGNOSTICOS</t>
  </si>
  <si>
    <t xml:space="preserve">COMP. MEICAMENTOS </t>
  </si>
  <si>
    <t>UNIQUE REPRESENTACIONES. SRL</t>
  </si>
  <si>
    <t>LECTURA DE DOCIMETRO DE PROT.</t>
  </si>
  <si>
    <t>MEDISOL</t>
  </si>
  <si>
    <t>COMP. DE MATERIAL GASTABLE</t>
  </si>
  <si>
    <t>AGUA FRISA</t>
  </si>
  <si>
    <t>COMP. DE AGUA</t>
  </si>
  <si>
    <t>CASA ELBA</t>
  </si>
  <si>
    <t>COMP. DE PROVICIONES</t>
  </si>
  <si>
    <t>GUIVAL MEDICINAL SRL</t>
  </si>
  <si>
    <t>COMP. DE REACTIVO DE LAB.</t>
  </si>
  <si>
    <t>COMLESA GLP</t>
  </si>
  <si>
    <t>COMP. DE GLP</t>
  </si>
  <si>
    <t>KYANRED SUPPLY</t>
  </si>
  <si>
    <t>COMP. MATERIAL GASTABLE</t>
  </si>
  <si>
    <t>PANADERIA SOLO CHEPE</t>
  </si>
  <si>
    <t>COMP. DE PROVICIONRES</t>
  </si>
  <si>
    <t>MGCH SRL</t>
  </si>
  <si>
    <t>COMP. DE MEDICAMENTOS</t>
  </si>
  <si>
    <t>PURIFICACION BOYA</t>
  </si>
  <si>
    <t xml:space="preserve">COMPRA DE PROVICIONES </t>
  </si>
  <si>
    <t xml:space="preserve">LABORATORIO DENTAL POLONIA </t>
  </si>
  <si>
    <t>COMP. MAT. DE ODONTOLOGIA</t>
  </si>
  <si>
    <t>SURTIDORA DAURYN</t>
  </si>
  <si>
    <t>PANIFICADORA NORDESTE</t>
  </si>
  <si>
    <t>PUERTAS Y VENTANAS REINOSO</t>
  </si>
  <si>
    <t>COMP. DE MATERIAL DE MANTENIMIENTO</t>
  </si>
  <si>
    <t>AIR LIQUIDE</t>
  </si>
  <si>
    <t>COMP. DE REACTIVOS</t>
  </si>
  <si>
    <t>MEDWHITE, SRL</t>
  </si>
  <si>
    <t>COPEM HOSPICLINIC, SRL</t>
  </si>
  <si>
    <t>COMPRA DE MATERIAL GSTABLE MED</t>
  </si>
  <si>
    <t>PEDRO ERIBERTO MARTES DÍAZ</t>
  </si>
  <si>
    <t>EPX DOMINICANA, SRL</t>
  </si>
  <si>
    <t>MEDIVAR, SRL</t>
  </si>
  <si>
    <t>LEROMED PHARMA, SRL</t>
  </si>
  <si>
    <t>COMPRA DE MATERIALES MANTENIMIENTO</t>
  </si>
  <si>
    <t>COMPRA DE MATERIAL GASTABLE MDICO</t>
  </si>
  <si>
    <t>PAT Y MELL, SRL</t>
  </si>
  <si>
    <t>SUPLIDORA ODONTOMEDICA, SRL</t>
  </si>
  <si>
    <t>SAMUEL PIMENTEL FRIAS</t>
  </si>
  <si>
    <t>ESTACION HERMANOS CONTRERAS</t>
  </si>
  <si>
    <t>059-0021025-2</t>
  </si>
  <si>
    <t>ALMACEN DE INSUMO</t>
  </si>
  <si>
    <t>SUPERVISOR DE ALMACEN DE INSUMO</t>
  </si>
  <si>
    <t>VS</t>
  </si>
  <si>
    <t>BIONUCLEAR</t>
  </si>
  <si>
    <t>SUPERMERCADO MAMA LOLA, SRL</t>
  </si>
  <si>
    <t>COMPRA DE MATERIAL GAST MEDICO</t>
  </si>
  <si>
    <t>HEXAPOWER PHARMA SRL</t>
  </si>
  <si>
    <t>FERMEDCA COMERCIAL SRL</t>
  </si>
  <si>
    <t>COMPRA DE MATERIAL GAST. ODONTOLOGICO</t>
  </si>
  <si>
    <t>COMPRA MATERIAL GAST. IMPRESO</t>
  </si>
  <si>
    <t>COMPRA DE COMBUSTIBLE</t>
  </si>
  <si>
    <t>COMPRA DE SERVICIOS DE REFRIGERACION</t>
  </si>
  <si>
    <t>ADAVAS DEL NORTE, SRL</t>
  </si>
  <si>
    <t>COMPRA DE MAT. DE LIMPEIZA</t>
  </si>
  <si>
    <t>MAX SER COMP</t>
  </si>
  <si>
    <t>COMPRA DE SERVICIOS DE ALQUILER</t>
  </si>
  <si>
    <t>ALMANZAR Y ESTVEZ</t>
  </si>
  <si>
    <t>COMPRA DE REACTIVOS</t>
  </si>
  <si>
    <t>SUPLIMED</t>
  </si>
  <si>
    <t>COMPRA DE MAT. GASTABLE MEDICO</t>
  </si>
  <si>
    <t>LEONIDES ADAMES</t>
  </si>
  <si>
    <t>COMPRA DE MAT GASTABLE MEDICO</t>
  </si>
  <si>
    <t>ZEN PHARMACEUTICA, SRL</t>
  </si>
  <si>
    <t xml:space="preserve"> </t>
  </si>
  <si>
    <t>PAPELERIA CISIN</t>
  </si>
  <si>
    <t>COMPRA DE MAT, DE OFICINA</t>
  </si>
  <si>
    <t>FARACH, S.A.</t>
  </si>
  <si>
    <t>SEAN DOMINICAN, SRL</t>
  </si>
  <si>
    <t>DOMINICANA PHONE PEROBA</t>
  </si>
  <si>
    <t>COMPRA DE MATERIALES DE OFICINA</t>
  </si>
  <si>
    <t>FARMACIA MIRIAN INMACULADA</t>
  </si>
  <si>
    <t>TEOFILO SANCHEZ, SRL</t>
  </si>
  <si>
    <t>FERRETERIA LA GRANDE</t>
  </si>
  <si>
    <t>AGUA DENNI, SRL</t>
  </si>
  <si>
    <t>STRONICS, SRL.</t>
  </si>
  <si>
    <t>SISTEMA DE LABORATORIO</t>
  </si>
  <si>
    <t>WW EQUIPOS MEDICOS, SRL.</t>
  </si>
  <si>
    <t>ALEJANDRA FARMACEUTICA, SRL</t>
  </si>
  <si>
    <t>FERRETERIA CAROLINA, SRL.</t>
  </si>
  <si>
    <t>HOSPICALFA MEDICAL</t>
  </si>
  <si>
    <t>H Y M SUPLAY, SRL</t>
  </si>
  <si>
    <t>GRUPO FARMACEUTICO CAR-M, SRL.</t>
  </si>
  <si>
    <t>FEC BIOMEDICAL, SRL</t>
  </si>
  <si>
    <t>FARMACIA DRA. CLETO</t>
  </si>
  <si>
    <t>FRADENT, SRL</t>
  </si>
  <si>
    <t>ALMACENES ORIENTALES</t>
  </si>
  <si>
    <t>YOJANCER PRINT COLOR SRL.</t>
  </si>
  <si>
    <t>FIGUEROA CABRERA TORUS, SRL.</t>
  </si>
  <si>
    <t>JHONNY VASQUEZ VASQUEZ</t>
  </si>
  <si>
    <t>PROPANO Y DERIVADOS, SA.</t>
  </si>
  <si>
    <t>KATIUSCA MAGDALIZA RONDON DIPLAN</t>
  </si>
  <si>
    <t>ROCE DENTAL, SRL</t>
  </si>
  <si>
    <t>CIRCUIMED, SRL.</t>
  </si>
  <si>
    <t>REY SOLUTIONS, EIRL.</t>
  </si>
  <si>
    <t>PUERTAS Y VENTANAS PICHE, SRL.</t>
  </si>
  <si>
    <t>COMPAÑÍA DOMINICANA DE TELEFONOS, SA.</t>
  </si>
  <si>
    <t>WOLFRAN BAUTISTA ACOSTA</t>
  </si>
  <si>
    <t>FARMACIA DE  MI ESPERANZA, SRL</t>
  </si>
  <si>
    <t>MANTENIMIENTO Y REPARACION EN AREA DE ODONTOLOGIA</t>
  </si>
  <si>
    <t>ROPA DE CIRUGIA Y COMPRESAS</t>
  </si>
  <si>
    <t>MATERIALES DE ODONTOLOGIA</t>
  </si>
  <si>
    <t>SUETER PARA PERSONAL</t>
  </si>
  <si>
    <t>REPARACION DE AUTOCLAVE</t>
  </si>
  <si>
    <t>CATETER DE VIA CENTRAL</t>
  </si>
  <si>
    <t>CIRCUITOS</t>
  </si>
  <si>
    <t>INSTALACION DE SISTEMA DE PUERTAS</t>
  </si>
  <si>
    <t>REPARACION DE PUERTAS</t>
  </si>
  <si>
    <t xml:space="preserve">TELEFONIA </t>
  </si>
  <si>
    <t>MEDICAMENTOS</t>
  </si>
  <si>
    <t>MATERIALES DE OFICINA</t>
  </si>
  <si>
    <t>COMPRA DE MEDICAMENTOS Y MATERIAL GASTABLE MEDICO</t>
  </si>
  <si>
    <t>OXIGENO</t>
  </si>
  <si>
    <t>MATERIALES DE MANTENIMIENTO</t>
  </si>
  <si>
    <t>AGUA</t>
  </si>
  <si>
    <t>TELA PARA ROPA DE CIRUGIA</t>
  </si>
  <si>
    <t>TRANSPORTE</t>
  </si>
  <si>
    <t>GLP</t>
  </si>
  <si>
    <t>DECAMPS ELECTROMUEBLES, EIRL.</t>
  </si>
  <si>
    <t>COMPRA DE ELECTRODOMESTICOS</t>
  </si>
  <si>
    <t>GERSY IVAN ESTEVEZ</t>
  </si>
  <si>
    <t>SERVICIOS JURIDICOS</t>
  </si>
  <si>
    <t>A G B CORPORATION SECURITY &amp; SOLUTIONS,SRL.</t>
  </si>
  <si>
    <t>ALBERT M. BELEN</t>
  </si>
  <si>
    <t>SERVICIO DE FUMIGACION</t>
  </si>
  <si>
    <t>PAGO EXCABACION DE SANJA</t>
  </si>
  <si>
    <t>J M DANYEL TECHNOLOGY, SRL.</t>
  </si>
  <si>
    <t>NANCY UREÑA Y O TAPICERIA PICHE</t>
  </si>
  <si>
    <t>COMPRA DE ASCESORIOS DE INFORMATICA</t>
  </si>
  <si>
    <t>REPARACION DE COLCHONES</t>
  </si>
  <si>
    <t>REFRIGERACION JOSE REYES, SRL</t>
  </si>
  <si>
    <t>MELVIN ANT. PERALTA</t>
  </si>
  <si>
    <t>PAGO REP DE CHIRROT EN AREA DE YESO</t>
  </si>
  <si>
    <t>HOSPITAL PROVINCIAL INMACULADA CONCEPCION</t>
  </si>
  <si>
    <t>SRS:____VIII____</t>
  </si>
  <si>
    <t xml:space="preserve">CONCEPTO DE COMPRA ( BREVE DESCRIPCION ) </t>
  </si>
  <si>
    <t>MONTO AÑO 2019</t>
  </si>
  <si>
    <t>MONTO AÑO 2020</t>
  </si>
  <si>
    <t>MONTO AÑO 2021</t>
  </si>
  <si>
    <t>MONTO ENE-DIC 2022</t>
  </si>
  <si>
    <t>MONTO ENE-DIC 2023</t>
  </si>
  <si>
    <t>MONTO ENE-DIC 2024</t>
  </si>
  <si>
    <t xml:space="preserve">TOTAL ADEUDADO </t>
  </si>
  <si>
    <t>ESCAVACION DE ZANJA</t>
  </si>
  <si>
    <t>PREPARADO POR:</t>
  </si>
  <si>
    <t xml:space="preserve">REVISADO POR: </t>
  </si>
  <si>
    <t xml:space="preserve">APROBADO POR: </t>
  </si>
  <si>
    <t>Administrador</t>
  </si>
  <si>
    <t>Director General</t>
  </si>
  <si>
    <t>RAMISOL, SRL</t>
  </si>
  <si>
    <t xml:space="preserve">SINOPHARMA, SRL </t>
  </si>
  <si>
    <t>LIRIANO RIVAS, SRL.</t>
  </si>
  <si>
    <t>REP DE AIRES ACONDICIONADOS</t>
  </si>
  <si>
    <t>IMPRESORA SANCHEZ RAMIREZ</t>
  </si>
  <si>
    <t>MATERIAL GASTABLE DE OFICINA</t>
  </si>
  <si>
    <t>TECNICARIBE DOMINICANA, SA.</t>
  </si>
  <si>
    <t>REPARACION DE PLANTA ELECTRICA</t>
  </si>
  <si>
    <t>VAL-KAMED</t>
  </si>
  <si>
    <t>MATERIAL PARA ENVOLVER</t>
  </si>
  <si>
    <t xml:space="preserve">LAS MELLIZAS </t>
  </si>
  <si>
    <t>GUILLERMO E. RODRIGUEZ</t>
  </si>
  <si>
    <t>MANT. Y REP . DE EQUIPOS</t>
  </si>
  <si>
    <t>ACQUA ASSOLUTA, SRL.</t>
  </si>
  <si>
    <t>SERVICIO DE ANALISIS DE AGUA</t>
  </si>
  <si>
    <t>SILVER PHARMA, SRL.</t>
  </si>
  <si>
    <t>IDEMESA, SRL.</t>
  </si>
  <si>
    <t>ANGEL FRAYMI MENDOZA ROSARIO</t>
  </si>
  <si>
    <t>RENTA DE ANDAMIO</t>
  </si>
  <si>
    <t>ALLINONESUPPLY, SRL.</t>
  </si>
  <si>
    <t>COMPRA DE MATERIALES DE OFICINA Y LIMPIEZA</t>
  </si>
  <si>
    <t>CABOD, EIRL.</t>
  </si>
  <si>
    <t>DIVERSIDAD DE ARTICULOS DIVERSIDART, SRL.</t>
  </si>
  <si>
    <t>MEDICONA, SRL.</t>
  </si>
  <si>
    <t>COMPRA DE ASCESORIOS Y EQUIPOS INFORMATICOS</t>
  </si>
  <si>
    <t>COMPRA DE MATERIALES DE ODONTOLOGIA</t>
  </si>
  <si>
    <t>AMMB IMPORTACION,SRL.</t>
  </si>
  <si>
    <t>VENTAS DIVERSAS FARMACEUTICAS, SRL.</t>
  </si>
  <si>
    <t>BIO NOVA, SRL.</t>
  </si>
  <si>
    <t>JEAN CARLOS BASULTO LOPEZ</t>
  </si>
  <si>
    <t>HOSPIFAR, SRL.</t>
  </si>
  <si>
    <t>RL SUPPLY PLUS, SRL.</t>
  </si>
  <si>
    <t>COMPRA DE MATERIALES DE OFICINA Y DE LIMPIEZA</t>
  </si>
  <si>
    <t>ESTABLECIMIENTO:HOSPITAL PROV. INMACULADA CONCEPCION</t>
  </si>
  <si>
    <t>NIFARMED, SRL.</t>
  </si>
  <si>
    <t>COLEGIO DOMINICANO DE ODONTOLOGOS CDO</t>
  </si>
  <si>
    <t>CONGRESO A ODONTOLOGOS</t>
  </si>
  <si>
    <t>CLINIMED, SRL.</t>
  </si>
  <si>
    <t>DENTAL FLEXIBLE D F, SRL.</t>
  </si>
  <si>
    <t>DISTRIBUIDORA BASULTO, EIRL.</t>
  </si>
  <si>
    <t>COMPRA DE EQUIPO DE ODONTOLOGIA</t>
  </si>
  <si>
    <t>DELMEDICAL, SRL</t>
  </si>
  <si>
    <t>COMPRA DE NEVERA EJECUTIVA Y TERMOMETROS</t>
  </si>
  <si>
    <t>QUALIPLIERS, EIRL.</t>
  </si>
  <si>
    <t>SUMIMEDIC SRL</t>
  </si>
  <si>
    <t>COMPRA DE MATERIAL GASTABLE MEDICO</t>
  </si>
  <si>
    <t>NEW MED SUMINISTROS MEDICOS SRL</t>
  </si>
  <si>
    <t>NABAL SERVICES, EIRL</t>
  </si>
  <si>
    <t>ARGOS FARMACEUTICA, SRL</t>
  </si>
  <si>
    <t>QUIROFANOS L Q SRL</t>
  </si>
  <si>
    <t>PREVENCION DE INCENDIOS SANO EIRL</t>
  </si>
  <si>
    <t>COMPRA DE EXTINTOR</t>
  </si>
  <si>
    <t>COMPROMISO DE DEUDAS 2025</t>
  </si>
  <si>
    <t>RONAJUS FARMACEUTICA, SRL.</t>
  </si>
  <si>
    <t>MARIA NIEVES ALVAREZ REVILLA</t>
  </si>
  <si>
    <t xml:space="preserve">COMPRA DE MATERIAL GASTABLE DE OFICINA </t>
  </si>
  <si>
    <t>OXIJAYA SRL</t>
  </si>
  <si>
    <t>CONSTRUCORA AQUAMAR, SRL</t>
  </si>
  <si>
    <t xml:space="preserve">ADQUISICION SERVICIO DE REPARACION </t>
  </si>
  <si>
    <t>GERENFAR,SRL</t>
  </si>
  <si>
    <t>ADQUISICION DE MEDICAMENTO</t>
  </si>
  <si>
    <t>402-1534291-2</t>
  </si>
  <si>
    <t>AUXILIAR DE RR.HH</t>
  </si>
  <si>
    <t>RECURSOS HUMANOS</t>
  </si>
  <si>
    <t>SECRETARIA</t>
  </si>
  <si>
    <t>ODONTOLOGIA</t>
  </si>
  <si>
    <t>AUX. FACTURACION</t>
  </si>
  <si>
    <t>FACTURACION Y SEGURO</t>
  </si>
  <si>
    <t>402-2266683-2</t>
  </si>
  <si>
    <t>AUX. DE CONTABILIDAD</t>
  </si>
  <si>
    <t>CONTABILIDAD</t>
  </si>
  <si>
    <t>402-2245079-9</t>
  </si>
  <si>
    <t>MEDICO INTENSIVISTA</t>
  </si>
  <si>
    <t>UNIDAD DE INTENSIVO</t>
  </si>
  <si>
    <t xml:space="preserve"> No. </t>
  </si>
  <si>
    <t xml:space="preserve">Cedula </t>
  </si>
  <si>
    <t>Nombre</t>
  </si>
  <si>
    <t>Apellido</t>
  </si>
  <si>
    <t>Departamento</t>
  </si>
  <si>
    <t xml:space="preserve">Función </t>
  </si>
  <si>
    <t>Estatus</t>
  </si>
  <si>
    <t>Grupo Ocupacional</t>
  </si>
  <si>
    <t>Fecha de inicio del contrato</t>
  </si>
  <si>
    <t>Sueldo Bruto (RD$)</t>
  </si>
  <si>
    <t>Seguridad Social (LEY 87-01)</t>
  </si>
  <si>
    <t>Total Retenciones y Aportes</t>
  </si>
  <si>
    <t>Sueldo Neto (RD$)</t>
  </si>
  <si>
    <t>Cuenta Banco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</si>
  <si>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</si>
  <si>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</si>
  <si>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</si>
  <si>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</si>
  <si>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</si>
  <si>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</si>
  <si>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</si>
  <si>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Desde</t>
  </si>
  <si>
    <t>Hasta</t>
  </si>
  <si>
    <t>Empleado (2.87%)</t>
  </si>
  <si>
    <t>Patronal (7.10%)</t>
  </si>
  <si>
    <t>Empleado (3.04%)</t>
  </si>
  <si>
    <t>Patronal (7.09%)</t>
  </si>
  <si>
    <t xml:space="preserve">JOSE JOEL  </t>
  </si>
  <si>
    <t>TAVERAS MARTE</t>
  </si>
  <si>
    <t>CONTRATADO</t>
  </si>
  <si>
    <t>I</t>
  </si>
  <si>
    <t>II</t>
  </si>
  <si>
    <t>TOTAL GENERAL</t>
  </si>
  <si>
    <t xml:space="preserve">NELFI MARIELI </t>
  </si>
  <si>
    <t>LOPEZ CRUCETA</t>
  </si>
  <si>
    <t xml:space="preserve">NICAURIS </t>
  </si>
  <si>
    <t>AGRAMONTE  BRITO</t>
  </si>
  <si>
    <t xml:space="preserve">NEWTON UBALDO </t>
  </si>
  <si>
    <t>CORREA TEJADA</t>
  </si>
  <si>
    <t>MONTO AL 28 DE FEBRERO 2025</t>
  </si>
  <si>
    <t>MONTO AL 31 DE  ENERO 2025</t>
  </si>
  <si>
    <t>MONTO AL 31 DE  MARZO 2025</t>
  </si>
  <si>
    <t>CAPELLAN DENTAL, SRL.</t>
  </si>
  <si>
    <t>PRODUCTO MEDICINALES, SRL. (PROMEDCA)</t>
  </si>
  <si>
    <t>MORFE INTERION DECORACIONES DIVERSAS, SRL.</t>
  </si>
  <si>
    <t>COMPRA DE MATERIALES PARA CORTINAS DE EMERGENCIAS</t>
  </si>
  <si>
    <t>ANEST, SRL.</t>
  </si>
  <si>
    <t>IV</t>
  </si>
  <si>
    <t>DR. OSCAR  MENA DÍAZ</t>
  </si>
  <si>
    <t xml:space="preserve">           LICDA GLENNY MERCEDES CRUZ</t>
  </si>
  <si>
    <t xml:space="preserve">           DIRECTOR:</t>
  </si>
  <si>
    <t xml:space="preserve">                </t>
  </si>
  <si>
    <t>ADMINISTRADORA</t>
  </si>
  <si>
    <t xml:space="preserve">               ENC. RECURSOS HUMANOS</t>
  </si>
  <si>
    <t>MONTO AL 30  DE  ABRIL 2025</t>
  </si>
  <si>
    <t>MIGUEL ANTONIO FELIX</t>
  </si>
  <si>
    <t>ADQUISICION DE MANTENIMIENTO</t>
  </si>
  <si>
    <t xml:space="preserve">CONTRATISTA FABIAN CRUZ Y ASOCIADOS </t>
  </si>
  <si>
    <t xml:space="preserve">SERVICIO DE PARAMETROS </t>
  </si>
  <si>
    <t>PHARMASEM SRL</t>
  </si>
  <si>
    <t xml:space="preserve">LISSANDER PAULINO ALMANZAR </t>
  </si>
  <si>
    <t xml:space="preserve">UTENSILIOS MEDICOS </t>
  </si>
  <si>
    <t>MONTO AL 31  DE  MAYO  2025</t>
  </si>
  <si>
    <t>GRUPO XERON MEDIC, SRL</t>
  </si>
  <si>
    <t>COMPRA DE MATERIALES GAST. DE OFICINA</t>
  </si>
  <si>
    <t>DAYBE DENTAL STORE &amp; CLINIC, SRL</t>
  </si>
  <si>
    <t xml:space="preserve">MATERIAL GASTABLE DE ODONTOLOGIA </t>
  </si>
  <si>
    <t>RADLAFE GROUP SRL</t>
  </si>
  <si>
    <t>BAUCOMER, SRL</t>
  </si>
  <si>
    <t xml:space="preserve">Comportamiento de Ingresos Percibidos Segregados según Origen </t>
  </si>
  <si>
    <t>Origen</t>
  </si>
  <si>
    <t xml:space="preserve">Fecha depópsito </t>
  </si>
  <si>
    <t xml:space="preserve">Núm. de Documento de referencia </t>
  </si>
  <si>
    <t xml:space="preserve">Valor de Transferencia o Cheque </t>
  </si>
  <si>
    <t>Atenciones a pacientes extranjeros</t>
  </si>
  <si>
    <t>MONTO AL 30  DE  JUNIO  2025</t>
  </si>
  <si>
    <t>LABORATORIO DENTAL CONCEPCION</t>
  </si>
  <si>
    <t>TIROSH, SRL</t>
  </si>
  <si>
    <t>MATERIAL GASTABLE DE LABORATORIO</t>
  </si>
  <si>
    <t>ADQUISION DE UNIFORME</t>
  </si>
  <si>
    <t>MONTO AL 31  DE  JULIO  2025</t>
  </si>
  <si>
    <t>PEREZ BARROSO</t>
  </si>
  <si>
    <t>Enc. Depto. De cuentas por pagar</t>
  </si>
  <si>
    <t>MONTO AL 31  DE  AGOSTO 2025</t>
  </si>
  <si>
    <t>INSTITUTO NACIONAL DE AGUAS POTABLES Y ALCANTARILLADO (INAPA)</t>
  </si>
  <si>
    <t>AGUA POTABLE</t>
  </si>
  <si>
    <t>Corporea RD, SRL</t>
  </si>
  <si>
    <t>Brenmarfa Import, SRL</t>
  </si>
  <si>
    <t>NEBULIZADOR</t>
  </si>
  <si>
    <t xml:space="preserve"> DE MATERIAL GASTABLE MEDICO</t>
  </si>
  <si>
    <t>Cuenta Núm.</t>
  </si>
  <si>
    <t>Balance en libro</t>
  </si>
  <si>
    <t>Balance en Banco</t>
  </si>
  <si>
    <t>Balance Conciliado</t>
  </si>
  <si>
    <t>0920018912</t>
  </si>
  <si>
    <t>0920027660</t>
  </si>
  <si>
    <t>MONTO AL 30  DE  SEPTIEMBRE 2025</t>
  </si>
  <si>
    <t>MARIA YOBON HOSTAL</t>
  </si>
  <si>
    <t xml:space="preserve">SERVICIO DE COMIDA </t>
  </si>
  <si>
    <t>MONTO AL 31  DE  OCTUBRE 2025</t>
  </si>
  <si>
    <t>ROPHARMA, SRL</t>
  </si>
  <si>
    <t>COMPRA DE MEDICAEMNTO</t>
  </si>
  <si>
    <t>MES REPORTADO: OCTUBRE</t>
  </si>
  <si>
    <t>DETALLE OBLIGACIONES CONTRAÍDAS PENDIENTES AL 31/10/2025</t>
  </si>
  <si>
    <r>
      <rPr>
        <sz val="11"/>
        <color theme="1"/>
        <rFont val="Calibri"/>
        <family val="2"/>
        <scheme val="minor"/>
      </rPr>
      <t xml:space="preserve">Establecimiento:  </t>
    </r>
    <r>
      <rPr>
        <b/>
        <sz val="11"/>
        <color theme="1"/>
        <rFont val="Calibri"/>
        <family val="2"/>
        <scheme val="minor"/>
      </rPr>
      <t xml:space="preserve">    </t>
    </r>
    <r>
      <rPr>
        <b/>
        <u/>
        <sz val="11"/>
        <color theme="1"/>
        <rFont val="Calibri"/>
        <family val="2"/>
        <scheme val="minor"/>
      </rPr>
      <t xml:space="preserve">HOSPITAL PROVINCIAL INMACULADA CONCEPCION </t>
    </r>
    <r>
      <rPr>
        <b/>
        <sz val="11"/>
        <color theme="1"/>
        <rFont val="Calibri"/>
        <family val="2"/>
        <scheme val="minor"/>
      </rPr>
      <t xml:space="preserve">        Mes:  OCTUBRE    Año:  2025        SRS: CIBAO SUR NO2</t>
    </r>
  </si>
  <si>
    <t>Bajo las funciones que nos asisten certificamos que el valor de los ingresos percibidos al 31 de octubre  de   2025 correspondieron  aseis millones doscientos noventa y seis mil ochocientos cuarenta y nueve mil pesos con 79/100</t>
  </si>
  <si>
    <t>Dado a los 30 dias del mes de septiembre  del año   2025.</t>
  </si>
  <si>
    <t>PAGO POR SERVICIOS PRESTADO</t>
  </si>
  <si>
    <t>Correspondiente al mes de OCTUBRE del año 2025</t>
  </si>
  <si>
    <t>402-0077913-6</t>
  </si>
  <si>
    <t>ARISLENNI</t>
  </si>
  <si>
    <t>ALMONTE BATISTA</t>
  </si>
  <si>
    <t>049-0089037-9</t>
  </si>
  <si>
    <t xml:space="preserve">KARINA </t>
  </si>
  <si>
    <t>ROSARIO VASQUEZ</t>
  </si>
  <si>
    <t xml:space="preserve">                       LICDA:ANEUDY ODALISA PIMENTEL</t>
  </si>
  <si>
    <t xml:space="preserve">                                ADMINITRADORA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</si>
</sst>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&quot;RD$&quot;#,##0.00_);\(&quot;RD$&quot;#,##0.00\)"/>
    <numFmt numFmtId="165" formatCode="_(&quot;RD$&quot;* #,##0.00_);_(&quot;RD$&quot;* \(#,##0.00\);_(&quot;RD$&quot;* &quot;-&quot;??_);_(@_)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_-* #,##0.00\ _€_-;\-* #,##0.00\ _€_-;_-* &quot;-&quot;??\ _€_-;_-@_-"/>
    <numFmt numFmtId="170" formatCode="&quot;RD$&quot;#,##0.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2"/>
      <name val="Calibri Light"/>
      <family val="1"/>
      <scheme val="maj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sz val="9"/>
      <color theme="1"/>
      <name val="Segoe UI Light"/>
      <family val="2"/>
    </font>
    <font>
      <sz val="9"/>
      <color theme="1"/>
      <name val="Calibri"/>
      <family val="2"/>
      <scheme val="minor"/>
    </font>
    <font>
      <sz val="8"/>
      <name val="Arial"/>
      <family val="2"/>
    </font>
    <font>
      <sz val="12"/>
      <name val="Verdana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12"/>
      <color theme="1"/>
      <name val="Calibri"/>
      <family val="2"/>
    </font>
    <font>
      <sz val="12"/>
      <name val="Calibri"/>
      <family val="2"/>
      <scheme val="minor"/>
    </font>
    <font>
      <sz val="9"/>
      <color theme="1"/>
      <name val="Times New Roman"/>
      <family val="1"/>
    </font>
    <font>
      <sz val="10"/>
      <color theme="1"/>
      <name val="Calibri Light"/>
      <family val="1"/>
      <scheme val="major"/>
    </font>
    <font>
      <sz val="9"/>
      <name val="Times New Roman"/>
      <family val="1"/>
    </font>
    <font>
      <b/>
      <u/>
      <sz val="18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Gill Sans MT"/>
      <family val="2"/>
    </font>
    <font>
      <b/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206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94">
    <xf numFmtId="0" fontId="0" fillId="0" borderId="0" xfId="0"/>
    <xf numFmtId="0" fontId="4" fillId="2" borderId="2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11" xfId="0" applyFont="1" applyFill="1" applyBorder="1"/>
    <xf numFmtId="0" fontId="0" fillId="0" borderId="10" xfId="0" applyBorder="1"/>
    <xf numFmtId="0" fontId="0" fillId="0" borderId="8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0" borderId="8" xfId="0" applyNumberFormat="1" applyBorder="1"/>
    <xf numFmtId="14" fontId="0" fillId="0" borderId="9" xfId="0" applyNumberFormat="1" applyBorder="1"/>
    <xf numFmtId="4" fontId="0" fillId="0" borderId="10" xfId="0" applyNumberFormat="1" applyBorder="1"/>
    <xf numFmtId="0" fontId="0" fillId="0" borderId="11" xfId="0" applyBorder="1"/>
    <xf numFmtId="0" fontId="0" fillId="0" borderId="12" xfId="0" applyBorder="1"/>
    <xf numFmtId="0" fontId="2" fillId="0" borderId="14" xfId="0" applyFont="1" applyBorder="1"/>
    <xf numFmtId="0" fontId="0" fillId="0" borderId="15" xfId="0" applyBorder="1"/>
    <xf numFmtId="0" fontId="0" fillId="0" borderId="16" xfId="0" applyBorder="1"/>
    <xf numFmtId="165" fontId="0" fillId="0" borderId="14" xfId="2" applyFont="1" applyBorder="1"/>
    <xf numFmtId="0" fontId="5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3" borderId="9" xfId="0" applyFont="1" applyFill="1" applyBorder="1" applyAlignment="1">
      <alignment wrapText="1"/>
    </xf>
    <xf numFmtId="0" fontId="4" fillId="3" borderId="12" xfId="0" applyFont="1" applyFill="1" applyBorder="1" applyAlignment="1">
      <alignment wrapText="1"/>
    </xf>
    <xf numFmtId="0" fontId="2" fillId="4" borderId="19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 wrapText="1"/>
    </xf>
    <xf numFmtId="1" fontId="0" fillId="0" borderId="12" xfId="0" applyNumberFormat="1" applyBorder="1"/>
    <xf numFmtId="14" fontId="0" fillId="0" borderId="12" xfId="0" applyNumberFormat="1" applyBorder="1"/>
    <xf numFmtId="165" fontId="0" fillId="0" borderId="12" xfId="2" applyFont="1" applyBorder="1"/>
    <xf numFmtId="167" fontId="0" fillId="0" borderId="0" xfId="0" applyNumberFormat="1"/>
    <xf numFmtId="0" fontId="6" fillId="0" borderId="12" xfId="0" applyFont="1" applyBorder="1"/>
    <xf numFmtId="0" fontId="0" fillId="5" borderId="12" xfId="0" applyFill="1" applyBorder="1"/>
    <xf numFmtId="165" fontId="2" fillId="5" borderId="12" xfId="2" applyFont="1" applyFill="1" applyBorder="1"/>
    <xf numFmtId="14" fontId="8" fillId="6" borderId="12" xfId="3" applyNumberFormat="1" applyFont="1" applyFill="1" applyBorder="1"/>
    <xf numFmtId="0" fontId="0" fillId="0" borderId="21" xfId="0" applyBorder="1"/>
    <xf numFmtId="165" fontId="8" fillId="6" borderId="12" xfId="2" applyFont="1" applyFill="1" applyBorder="1"/>
    <xf numFmtId="0" fontId="0" fillId="7" borderId="12" xfId="0" applyFill="1" applyBorder="1"/>
    <xf numFmtId="165" fontId="2" fillId="7" borderId="12" xfId="2" applyFont="1" applyFill="1" applyBorder="1"/>
    <xf numFmtId="0" fontId="0" fillId="0" borderId="0" xfId="0" applyAlignment="1">
      <alignment horizontal="left"/>
    </xf>
    <xf numFmtId="165" fontId="0" fillId="0" borderId="12" xfId="2" applyFont="1" applyFill="1" applyBorder="1"/>
    <xf numFmtId="0" fontId="0" fillId="0" borderId="21" xfId="0" applyBorder="1" applyAlignment="1">
      <alignment vertical="center" wrapText="1"/>
    </xf>
    <xf numFmtId="0" fontId="2" fillId="0" borderId="12" xfId="0" applyFont="1" applyBorder="1"/>
    <xf numFmtId="0" fontId="0" fillId="0" borderId="12" xfId="0" applyBorder="1" applyAlignment="1">
      <alignment wrapText="1"/>
    </xf>
    <xf numFmtId="166" fontId="1" fillId="0" borderId="10" xfId="1" applyFont="1" applyBorder="1"/>
    <xf numFmtId="1" fontId="0" fillId="0" borderId="0" xfId="0" applyNumberFormat="1" applyBorder="1"/>
    <xf numFmtId="166" fontId="0" fillId="0" borderId="10" xfId="1" applyFont="1" applyBorder="1"/>
    <xf numFmtId="0" fontId="7" fillId="0" borderId="0" xfId="3" applyFont="1"/>
    <xf numFmtId="166" fontId="12" fillId="0" borderId="12" xfId="1" applyFont="1" applyBorder="1" applyAlignment="1">
      <alignment horizontal="center"/>
    </xf>
    <xf numFmtId="166" fontId="0" fillId="0" borderId="9" xfId="1" applyFont="1" applyBorder="1" applyAlignment="1">
      <alignment horizontal="center"/>
    </xf>
    <xf numFmtId="0" fontId="17" fillId="0" borderId="12" xfId="0" applyFont="1" applyBorder="1"/>
    <xf numFmtId="4" fontId="16" fillId="0" borderId="12" xfId="0" applyNumberFormat="1" applyFont="1" applyBorder="1" applyAlignment="1">
      <alignment vertical="center" readingOrder="1"/>
    </xf>
    <xf numFmtId="0" fontId="18" fillId="6" borderId="12" xfId="0" applyFont="1" applyFill="1" applyBorder="1"/>
    <xf numFmtId="0" fontId="18" fillId="6" borderId="11" xfId="0" applyFont="1" applyFill="1" applyBorder="1"/>
    <xf numFmtId="0" fontId="11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17" xfId="0" applyBorder="1"/>
    <xf numFmtId="0" fontId="2" fillId="4" borderId="12" xfId="0" applyFont="1" applyFill="1" applyBorder="1" applyAlignment="1">
      <alignment horizontal="center" wrapText="1"/>
    </xf>
    <xf numFmtId="0" fontId="20" fillId="0" borderId="12" xfId="0" applyFont="1" applyBorder="1"/>
    <xf numFmtId="0" fontId="13" fillId="0" borderId="12" xfId="0" applyFont="1" applyBorder="1"/>
    <xf numFmtId="168" fontId="13" fillId="0" borderId="12" xfId="8" applyFont="1" applyBorder="1" applyAlignment="1">
      <alignment horizontal="center"/>
    </xf>
    <xf numFmtId="168" fontId="13" fillId="0" borderId="12" xfId="8" applyFont="1" applyBorder="1" applyAlignment="1">
      <alignment horizontal="right"/>
    </xf>
    <xf numFmtId="3" fontId="21" fillId="0" borderId="12" xfId="0" applyNumberFormat="1" applyFont="1" applyBorder="1" applyAlignment="1">
      <alignment horizontal="center" vertical="center" wrapText="1"/>
    </xf>
    <xf numFmtId="166" fontId="1" fillId="0" borderId="12" xfId="1" applyFont="1" applyFill="1" applyBorder="1"/>
    <xf numFmtId="168" fontId="21" fillId="0" borderId="12" xfId="8" applyFont="1" applyBorder="1" applyAlignment="1">
      <alignment horizontal="center" vertical="center" wrapText="1"/>
    </xf>
    <xf numFmtId="4" fontId="20" fillId="0" borderId="12" xfId="0" applyNumberFormat="1" applyFont="1" applyBorder="1" applyAlignment="1">
      <alignment horizontal="center"/>
    </xf>
    <xf numFmtId="4" fontId="22" fillId="0" borderId="12" xfId="0" applyNumberFormat="1" applyFont="1" applyBorder="1" applyAlignment="1">
      <alignment horizontal="center"/>
    </xf>
    <xf numFmtId="168" fontId="20" fillId="0" borderId="12" xfId="8" applyFont="1" applyBorder="1" applyAlignment="1">
      <alignment horizontal="center"/>
    </xf>
    <xf numFmtId="168" fontId="2" fillId="8" borderId="12" xfId="0" applyNumberFormat="1" applyFont="1" applyFill="1" applyBorder="1"/>
    <xf numFmtId="0" fontId="19" fillId="0" borderId="0" xfId="0" applyFont="1" applyAlignment="1">
      <alignment horizontal="center"/>
    </xf>
    <xf numFmtId="0" fontId="0" fillId="0" borderId="0" xfId="0" applyAlignment="1">
      <alignment wrapText="1"/>
    </xf>
    <xf numFmtId="0" fontId="13" fillId="0" borderId="25" xfId="0" applyFont="1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4" fontId="17" fillId="0" borderId="12" xfId="0" applyNumberFormat="1" applyFont="1" applyBorder="1" applyAlignment="1">
      <alignment vertical="center" wrapText="1"/>
    </xf>
    <xf numFmtId="14" fontId="17" fillId="0" borderId="12" xfId="0" applyNumberFormat="1" applyFont="1" applyBorder="1" applyAlignment="1">
      <alignment horizontal="center"/>
    </xf>
    <xf numFmtId="4" fontId="17" fillId="0" borderId="12" xfId="0" applyNumberFormat="1" applyFont="1" applyBorder="1" applyAlignment="1">
      <alignment horizontal="center" vertical="center"/>
    </xf>
    <xf numFmtId="4" fontId="16" fillId="0" borderId="12" xfId="0" applyNumberFormat="1" applyFont="1" applyBorder="1" applyAlignment="1">
      <alignment horizontal="center" vertical="center" wrapText="1"/>
    </xf>
    <xf numFmtId="0" fontId="7" fillId="0" borderId="0" xfId="3" applyFont="1" applyAlignment="1">
      <alignment vertical="center"/>
    </xf>
    <xf numFmtId="0" fontId="7" fillId="7" borderId="12" xfId="3" applyFont="1" applyFill="1" applyBorder="1" applyAlignment="1">
      <alignment horizontal="center" vertical="center"/>
    </xf>
    <xf numFmtId="0" fontId="7" fillId="0" borderId="23" xfId="5" applyNumberFormat="1" applyFont="1" applyFill="1" applyBorder="1" applyAlignment="1">
      <alignment horizontal="left"/>
    </xf>
    <xf numFmtId="1" fontId="26" fillId="6" borderId="12" xfId="3" applyNumberFormat="1" applyFont="1" applyFill="1" applyBorder="1" applyAlignment="1">
      <alignment wrapText="1"/>
    </xf>
    <xf numFmtId="0" fontId="17" fillId="0" borderId="12" xfId="0" applyFont="1" applyBorder="1" applyAlignment="1">
      <alignment wrapText="1"/>
    </xf>
    <xf numFmtId="1" fontId="26" fillId="6" borderId="12" xfId="3" applyNumberFormat="1" applyFont="1" applyFill="1" applyBorder="1"/>
    <xf numFmtId="0" fontId="7" fillId="6" borderId="12" xfId="0" applyFont="1" applyFill="1" applyBorder="1" applyAlignment="1">
      <alignment horizontal="center" vertical="center" wrapText="1"/>
    </xf>
    <xf numFmtId="14" fontId="14" fillId="6" borderId="12" xfId="0" applyNumberFormat="1" applyFont="1" applyFill="1" applyBorder="1" applyAlignment="1">
      <alignment horizontal="center" vertical="center" wrapText="1"/>
    </xf>
    <xf numFmtId="4" fontId="7" fillId="7" borderId="12" xfId="3" applyNumberFormat="1" applyFont="1" applyFill="1" applyBorder="1" applyAlignment="1">
      <alignment horizontal="right" vertical="center"/>
    </xf>
    <xf numFmtId="2" fontId="7" fillId="7" borderId="12" xfId="3" applyNumberFormat="1" applyFont="1" applyFill="1" applyBorder="1" applyAlignment="1">
      <alignment horizontal="right" vertical="center"/>
    </xf>
    <xf numFmtId="4" fontId="7" fillId="7" borderId="12" xfId="3" applyNumberFormat="1" applyFont="1" applyFill="1" applyBorder="1" applyAlignment="1">
      <alignment horizontal="center" vertical="center"/>
    </xf>
    <xf numFmtId="3" fontId="7" fillId="7" borderId="12" xfId="3" applyNumberFormat="1" applyFont="1" applyFill="1" applyBorder="1" applyAlignment="1">
      <alignment horizontal="center" vertical="center"/>
    </xf>
    <xf numFmtId="0" fontId="26" fillId="6" borderId="12" xfId="0" applyFont="1" applyFill="1" applyBorder="1" applyAlignment="1">
      <alignment wrapText="1"/>
    </xf>
    <xf numFmtId="0" fontId="25" fillId="11" borderId="12" xfId="3" applyFont="1" applyFill="1" applyBorder="1" applyAlignment="1">
      <alignment vertical="center" wrapText="1"/>
    </xf>
    <xf numFmtId="4" fontId="25" fillId="11" borderId="12" xfId="3" applyNumberFormat="1" applyFont="1" applyFill="1" applyBorder="1" applyAlignment="1">
      <alignment horizontal="right" vertical="center"/>
    </xf>
    <xf numFmtId="4" fontId="25" fillId="7" borderId="12" xfId="3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168" fontId="13" fillId="0" borderId="0" xfId="8" applyFont="1" applyBorder="1" applyAlignment="1">
      <alignment horizontal="right"/>
    </xf>
    <xf numFmtId="0" fontId="29" fillId="0" borderId="12" xfId="0" applyFont="1" applyBorder="1" applyAlignment="1">
      <alignment horizontal="center" vertical="center"/>
    </xf>
    <xf numFmtId="4" fontId="16" fillId="0" borderId="12" xfId="0" applyNumberFormat="1" applyFont="1" applyBorder="1" applyAlignment="1">
      <alignment horizontal="center" vertical="center" readingOrder="1"/>
    </xf>
    <xf numFmtId="0" fontId="25" fillId="0" borderId="0" xfId="3" applyFont="1"/>
    <xf numFmtId="4" fontId="25" fillId="0" borderId="0" xfId="3" applyNumberFormat="1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13" fillId="6" borderId="12" xfId="0" applyFont="1" applyFill="1" applyBorder="1"/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0" fillId="0" borderId="21" xfId="0" applyBorder="1" applyAlignment="1">
      <alignment wrapText="1"/>
    </xf>
    <xf numFmtId="0" fontId="2" fillId="7" borderId="0" xfId="0" applyFont="1" applyFill="1" applyAlignment="1">
      <alignment horizontal="center" vertical="center" wrapText="1"/>
    </xf>
    <xf numFmtId="0" fontId="0" fillId="7" borderId="0" xfId="0" applyFill="1"/>
    <xf numFmtId="166" fontId="2" fillId="7" borderId="0" xfId="0" applyNumberFormat="1" applyFont="1" applyFill="1"/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30" fillId="6" borderId="12" xfId="0" applyFont="1" applyFill="1" applyBorder="1"/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31" fillId="12" borderId="12" xfId="0" applyFont="1" applyFill="1" applyBorder="1" applyAlignment="1">
      <alignment horizontal="center"/>
    </xf>
    <xf numFmtId="0" fontId="31" fillId="12" borderId="24" xfId="0" applyFont="1" applyFill="1" applyBorder="1" applyAlignment="1"/>
    <xf numFmtId="0" fontId="31" fillId="0" borderId="0" xfId="0" applyFont="1" applyFill="1" applyBorder="1" applyAlignment="1"/>
    <xf numFmtId="49" fontId="2" fillId="0" borderId="12" xfId="0" applyNumberFormat="1" applyFont="1" applyBorder="1" applyAlignment="1">
      <alignment horizontal="center"/>
    </xf>
    <xf numFmtId="164" fontId="32" fillId="0" borderId="26" xfId="0" applyNumberFormat="1" applyFont="1" applyBorder="1"/>
    <xf numFmtId="0" fontId="2" fillId="0" borderId="0" xfId="0" applyFont="1" applyBorder="1" applyAlignment="1"/>
    <xf numFmtId="170" fontId="32" fillId="0" borderId="0" xfId="0" applyNumberFormat="1" applyFont="1" applyBorder="1"/>
    <xf numFmtId="0" fontId="2" fillId="0" borderId="12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7" xfId="0" applyFont="1" applyBorder="1" applyAlignment="1">
      <alignment horizontal="center"/>
    </xf>
    <xf numFmtId="0" fontId="0" fillId="6" borderId="0" xfId="0" applyFill="1" applyAlignment="1">
      <alignment horizontal="left"/>
    </xf>
    <xf numFmtId="0" fontId="25" fillId="7" borderId="12" xfId="3" applyFont="1" applyFill="1" applyBorder="1" applyAlignment="1">
      <alignment horizontal="center" vertical="center" wrapText="1"/>
    </xf>
    <xf numFmtId="0" fontId="25" fillId="9" borderId="12" xfId="3" applyFont="1" applyFill="1" applyBorder="1" applyAlignment="1">
      <alignment horizontal="center" vertical="center"/>
    </xf>
    <xf numFmtId="0" fontId="25" fillId="7" borderId="12" xfId="3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0" fillId="6" borderId="0" xfId="0" applyFill="1" applyAlignment="1">
      <alignment horizontal="left" vertical="top" wrapText="1"/>
    </xf>
    <xf numFmtId="0" fontId="0" fillId="6" borderId="0" xfId="0" applyFill="1" applyAlignment="1">
      <alignment horizontal="left"/>
    </xf>
    <xf numFmtId="0" fontId="4" fillId="0" borderId="0" xfId="0" applyFont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0" borderId="18" xfId="0" applyFont="1" applyBorder="1" applyAlignment="1">
      <alignment horizontal="left"/>
    </xf>
    <xf numFmtId="0" fontId="2" fillId="5" borderId="12" xfId="0" applyFont="1" applyFill="1" applyBorder="1" applyAlignment="1">
      <alignment horizontal="center" vertical="center" wrapText="1"/>
    </xf>
    <xf numFmtId="0" fontId="2" fillId="7" borderId="24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23" fillId="0" borderId="0" xfId="3" applyFont="1" applyAlignment="1">
      <alignment horizontal="center" vertical="center"/>
    </xf>
    <xf numFmtId="0" fontId="24" fillId="0" borderId="0" xfId="3" applyFont="1" applyAlignment="1">
      <alignment horizontal="center" vertical="center"/>
    </xf>
    <xf numFmtId="0" fontId="25" fillId="0" borderId="0" xfId="3" applyFont="1" applyAlignment="1">
      <alignment horizontal="center" vertical="center"/>
    </xf>
    <xf numFmtId="0" fontId="25" fillId="0" borderId="0" xfId="3" applyFont="1" applyAlignment="1">
      <alignment horizontal="left" vertical="center"/>
    </xf>
    <xf numFmtId="0" fontId="25" fillId="7" borderId="12" xfId="3" applyFont="1" applyFill="1" applyBorder="1" applyAlignment="1">
      <alignment horizontal="center" vertical="center" wrapText="1"/>
    </xf>
    <xf numFmtId="0" fontId="25" fillId="9" borderId="12" xfId="3" applyFont="1" applyFill="1" applyBorder="1" applyAlignment="1">
      <alignment horizontal="center" vertical="center"/>
    </xf>
    <xf numFmtId="0" fontId="25" fillId="9" borderId="21" xfId="3" applyFont="1" applyFill="1" applyBorder="1" applyAlignment="1">
      <alignment horizontal="center" vertical="center"/>
    </xf>
    <xf numFmtId="0" fontId="25" fillId="9" borderId="22" xfId="3" applyFont="1" applyFill="1" applyBorder="1" applyAlignment="1">
      <alignment horizontal="center" vertical="center"/>
    </xf>
    <xf numFmtId="0" fontId="25" fillId="9" borderId="23" xfId="3" applyFont="1" applyFill="1" applyBorder="1" applyAlignment="1">
      <alignment horizontal="center" vertical="center"/>
    </xf>
    <xf numFmtId="0" fontId="25" fillId="10" borderId="21" xfId="3" applyFont="1" applyFill="1" applyBorder="1" applyAlignment="1">
      <alignment horizontal="center" vertical="center" wrapText="1"/>
    </xf>
    <xf numFmtId="0" fontId="25" fillId="10" borderId="22" xfId="3" applyFont="1" applyFill="1" applyBorder="1" applyAlignment="1">
      <alignment horizontal="center" vertical="center" wrapText="1"/>
    </xf>
    <xf numFmtId="0" fontId="25" fillId="10" borderId="23" xfId="3" applyFont="1" applyFill="1" applyBorder="1" applyAlignment="1">
      <alignment horizontal="center" vertical="center" wrapText="1"/>
    </xf>
    <xf numFmtId="0" fontId="25" fillId="9" borderId="12" xfId="3" applyFont="1" applyFill="1" applyBorder="1" applyAlignment="1">
      <alignment horizontal="center" vertical="center" wrapText="1"/>
    </xf>
    <xf numFmtId="0" fontId="25" fillId="7" borderId="12" xfId="3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2" fillId="8" borderId="12" xfId="0" applyFont="1" applyFill="1" applyBorder="1" applyAlignment="1">
      <alignment horizontal="center"/>
    </xf>
    <xf numFmtId="166" fontId="0" fillId="0" borderId="12" xfId="11" applyFont="1" applyBorder="1"/>
    <xf numFmtId="166" fontId="2" fillId="0" borderId="12" xfId="11" applyFont="1" applyFill="1" applyBorder="1" applyAlignment="1">
      <alignment horizontal="center"/>
    </xf>
    <xf numFmtId="4" fontId="16" fillId="0" borderId="12" xfId="0" applyNumberFormat="1" applyFont="1" applyBorder="1" applyAlignment="1">
      <alignment horizontal="center" vertical="center" wrapText="1" readingOrder="1"/>
    </xf>
  </cellXfs>
  <cellStyles count="12">
    <cellStyle name="Millares" xfId="1" builtinId="3"/>
    <cellStyle name="Millares 2" xfId="5"/>
    <cellStyle name="Millares 2 2" xfId="8"/>
    <cellStyle name="Millares 2 2 2" xfId="10"/>
    <cellStyle name="Millares 3" xfId="7"/>
    <cellStyle name="Millares 4" xfId="11"/>
    <cellStyle name="Millares 9" xfId="4"/>
    <cellStyle name="Moneda" xfId="2" builtinId="4"/>
    <cellStyle name="Normal" xfId="0" builtinId="0"/>
    <cellStyle name="Normal 2" xfId="6"/>
    <cellStyle name="Normal 2 2" xfId="3"/>
    <cellStyle name="Porcentaje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2</xdr:col>
      <xdr:colOff>657225</xdr:colOff>
      <xdr:row>5</xdr:row>
      <xdr:rowOff>28575</xdr:rowOff>
    </xdr:to>
    <xdr:pic>
      <xdr:nvPicPr>
        <xdr:cNvPr id="2" name="Imagen 1" descr="C:\Users\direccion\Desktop\LOGO NUEVO\HOSPITAL-PROVINCIAL-INMACULADA-CONCEPCIÃ“N-02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294" r="20061" b="26335"/>
        <a:stretch/>
      </xdr:blipFill>
      <xdr:spPr bwMode="auto">
        <a:xfrm>
          <a:off x="76200" y="57150"/>
          <a:ext cx="2628900" cy="7715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0</xdr:rowOff>
    </xdr:from>
    <xdr:to>
      <xdr:col>2</xdr:col>
      <xdr:colOff>657225</xdr:colOff>
      <xdr:row>5</xdr:row>
      <xdr:rowOff>28575</xdr:rowOff>
    </xdr:to>
    <xdr:pic>
      <xdr:nvPicPr>
        <xdr:cNvPr id="4" name="Imagen 1" descr="C:\Users\direccion\Desktop\LOGO NUEVO\HOSPITAL-PROVINCIAL-INMACULADA-CONCEPCIÃ“N-02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294" r="20061" b="26335"/>
        <a:stretch/>
      </xdr:blipFill>
      <xdr:spPr bwMode="auto">
        <a:xfrm>
          <a:off x="76200" y="0"/>
          <a:ext cx="2305050" cy="9239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Users\usuario\Desktop\RRHH\CARPETA%20DE%20N&#211;MINAS\NOMINA%20INTERNA%202022\MODELO%20NO&#769;MINA%20ACTUALIZADA%20PARA%20LA%20REGIONAL%2016%20DE%20NOV%202022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francisca.castro\Downloads\Formulario%20nuevo%20de%20la%20ejecucion%20presupuestaria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 refreshError="1"/>
      <sheetData sheetId="1" refreshError="1">
        <row r="4">
          <cell r="B4" t="str">
            <v>M</v>
          </cell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Base - No tocar"/>
      <sheetName val="Criterios - No tocar"/>
      <sheetName val="MENE2"/>
      <sheetName val="MENE3"/>
    </sheetNames>
    <sheetDataSet>
      <sheetData sheetId="0" refreshError="1"/>
      <sheetData sheetId="1" refreshError="1"/>
      <sheetData sheetId="2">
        <row r="1">
          <cell r="B1" t="str">
            <v>Metropolitano - '0</v>
          </cell>
          <cell r="C1" t="str">
            <v>Valdesia - I</v>
          </cell>
          <cell r="D1" t="str">
            <v>Norcentral - II</v>
          </cell>
          <cell r="E1" t="str">
            <v>Nordeste - III</v>
          </cell>
          <cell r="F1" t="str">
            <v>Enriquillo - IV</v>
          </cell>
          <cell r="G1" t="str">
            <v>Este - V</v>
          </cell>
          <cell r="H1" t="str">
            <v>El Valle - VI</v>
          </cell>
          <cell r="I1" t="str">
            <v>Cibao Occidental - VII</v>
          </cell>
          <cell r="J1" t="str">
            <v>Cibao Central - VIII</v>
          </cell>
          <cell r="K1" t="str">
            <v>Vacío</v>
          </cell>
        </row>
        <row r="2">
          <cell r="M2" t="str">
            <v>Vacío</v>
          </cell>
        </row>
        <row r="3">
          <cell r="M3" t="str">
            <v>enero  - marzo</v>
          </cell>
        </row>
        <row r="4">
          <cell r="M4" t="str">
            <v>abril - junio</v>
          </cell>
        </row>
        <row r="5">
          <cell r="M5" t="str">
            <v>julio - septiembre</v>
          </cell>
        </row>
        <row r="6">
          <cell r="M6" t="str">
            <v>octubre - Diciembre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32"/>
  <sheetViews>
    <sheetView showGridLines="0" zoomScaleNormal="100" workbookViewId="0">
      <selection activeCell="B7" sqref="B7:H7"/>
    </sheetView>
  </sheetViews>
  <sheetFormatPr baseColWidth="10" defaultRowHeight="15" x14ac:dyDescent="0.25"/>
  <cols>
    <col min="1" max="1" width="5.42578125" customWidth="1"/>
    <col min="2" max="2" width="61.5703125" customWidth="1"/>
    <col min="5" max="5" width="18.7109375" customWidth="1"/>
    <col min="6" max="6" width="23.28515625" customWidth="1"/>
    <col min="7" max="7" width="15.42578125" customWidth="1"/>
    <col min="8" max="8" width="16.85546875" customWidth="1"/>
  </cols>
  <sheetData>
    <row r="4" spans="2:9" ht="18.75" x14ac:dyDescent="0.3">
      <c r="B4" s="152" t="s">
        <v>0</v>
      </c>
      <c r="C4" s="152"/>
      <c r="D4" s="152"/>
      <c r="E4" s="152"/>
      <c r="F4" s="152"/>
      <c r="G4" s="152"/>
      <c r="H4" s="152"/>
    </row>
    <row r="5" spans="2:9" ht="18.75" x14ac:dyDescent="0.3">
      <c r="B5" s="152" t="s">
        <v>1</v>
      </c>
      <c r="C5" s="152"/>
      <c r="D5" s="152"/>
      <c r="E5" s="152"/>
      <c r="F5" s="152"/>
      <c r="G5" s="152"/>
      <c r="H5" s="152"/>
    </row>
    <row r="6" spans="2:9" ht="18.75" x14ac:dyDescent="0.3">
      <c r="B6" s="152" t="s">
        <v>398</v>
      </c>
      <c r="C6" s="152"/>
      <c r="D6" s="152"/>
      <c r="E6" s="152"/>
      <c r="F6" s="152"/>
      <c r="G6" s="152"/>
      <c r="H6" s="152"/>
    </row>
    <row r="7" spans="2:9" ht="19.5" thickBot="1" x14ac:dyDescent="0.35">
      <c r="B7" s="153" t="s">
        <v>60</v>
      </c>
      <c r="C7" s="153"/>
      <c r="D7" s="153"/>
      <c r="E7" s="153"/>
      <c r="F7" s="153"/>
      <c r="G7" s="153"/>
      <c r="H7" s="153"/>
    </row>
    <row r="8" spans="2:9" ht="15.75" x14ac:dyDescent="0.25">
      <c r="B8" s="1" t="s">
        <v>2</v>
      </c>
      <c r="C8" s="154" t="s">
        <v>3</v>
      </c>
      <c r="D8" s="155"/>
      <c r="E8" s="1" t="s">
        <v>4</v>
      </c>
      <c r="F8" s="2" t="s">
        <v>5</v>
      </c>
      <c r="G8" s="3" t="s">
        <v>6</v>
      </c>
      <c r="H8" s="4" t="s">
        <v>7</v>
      </c>
    </row>
    <row r="9" spans="2:9" ht="15.75" x14ac:dyDescent="0.25">
      <c r="B9" s="145" t="s">
        <v>18</v>
      </c>
      <c r="C9" s="147" t="s">
        <v>8</v>
      </c>
      <c r="D9" s="148"/>
      <c r="E9" s="5"/>
      <c r="F9" s="149" t="s">
        <v>19</v>
      </c>
      <c r="G9" s="150"/>
      <c r="H9" s="151"/>
    </row>
    <row r="10" spans="2:9" ht="31.5" x14ac:dyDescent="0.25">
      <c r="B10" s="146"/>
      <c r="C10" s="6" t="s">
        <v>23</v>
      </c>
      <c r="D10" s="7" t="s">
        <v>24</v>
      </c>
      <c r="E10" s="5" t="s">
        <v>9</v>
      </c>
      <c r="F10" s="8" t="s">
        <v>20</v>
      </c>
      <c r="G10" s="28" t="s">
        <v>21</v>
      </c>
      <c r="H10" s="27" t="s">
        <v>22</v>
      </c>
    </row>
    <row r="11" spans="2:9" x14ac:dyDescent="0.25">
      <c r="B11" s="9" t="s">
        <v>10</v>
      </c>
      <c r="C11" s="15">
        <v>45658</v>
      </c>
      <c r="D11" s="16">
        <v>45961</v>
      </c>
      <c r="E11" s="51">
        <v>1054798.57</v>
      </c>
      <c r="F11" s="12"/>
      <c r="G11" s="13"/>
      <c r="H11" s="54" t="s">
        <v>136</v>
      </c>
    </row>
    <row r="12" spans="2:9" x14ac:dyDescent="0.25">
      <c r="B12" s="9" t="s">
        <v>56</v>
      </c>
      <c r="C12" s="15">
        <v>45658</v>
      </c>
      <c r="D12" s="16">
        <v>45961</v>
      </c>
      <c r="E12" s="51">
        <v>0</v>
      </c>
      <c r="F12" s="12"/>
      <c r="G12" s="13"/>
      <c r="H12" s="14"/>
    </row>
    <row r="13" spans="2:9" x14ac:dyDescent="0.25">
      <c r="B13" s="9" t="s">
        <v>57</v>
      </c>
      <c r="C13" s="15">
        <v>45474</v>
      </c>
      <c r="D13" s="16">
        <v>45961</v>
      </c>
      <c r="E13" s="49">
        <v>2031166.577</v>
      </c>
      <c r="F13" s="12"/>
      <c r="G13" s="13"/>
      <c r="H13" s="14"/>
    </row>
    <row r="14" spans="2:9" x14ac:dyDescent="0.25">
      <c r="B14" s="9" t="s">
        <v>15</v>
      </c>
      <c r="C14" s="15"/>
      <c r="D14" s="16"/>
      <c r="E14" s="17"/>
      <c r="F14" s="12"/>
      <c r="G14" s="13"/>
      <c r="H14" s="14"/>
    </row>
    <row r="15" spans="2:9" x14ac:dyDescent="0.25">
      <c r="B15" s="9" t="s">
        <v>58</v>
      </c>
      <c r="C15" s="15">
        <v>45658</v>
      </c>
      <c r="D15" s="16">
        <v>45961</v>
      </c>
      <c r="E15" s="17">
        <v>0</v>
      </c>
      <c r="F15" s="12"/>
      <c r="G15" s="13"/>
      <c r="H15" s="14"/>
      <c r="I15" t="s">
        <v>136</v>
      </c>
    </row>
    <row r="16" spans="2:9" x14ac:dyDescent="0.25">
      <c r="B16" s="9" t="s">
        <v>16</v>
      </c>
      <c r="C16" s="15"/>
      <c r="D16" s="16"/>
      <c r="E16" s="17"/>
      <c r="F16" s="12"/>
      <c r="G16" s="13"/>
      <c r="H16" s="14"/>
    </row>
    <row r="17" spans="1:9" x14ac:dyDescent="0.25">
      <c r="B17" s="9" t="s">
        <v>17</v>
      </c>
      <c r="C17" s="15">
        <v>45658</v>
      </c>
      <c r="D17" s="16">
        <v>45961</v>
      </c>
      <c r="E17" s="17">
        <v>79012.5</v>
      </c>
      <c r="F17" s="12"/>
      <c r="G17" s="13"/>
      <c r="H17" s="14"/>
    </row>
    <row r="18" spans="1:9" x14ac:dyDescent="0.25">
      <c r="B18" s="9" t="s">
        <v>11</v>
      </c>
      <c r="C18" s="10"/>
      <c r="D18" s="11"/>
      <c r="E18" s="9"/>
      <c r="F18" s="18"/>
      <c r="G18" s="19"/>
      <c r="H18" s="11"/>
    </row>
    <row r="19" spans="1:9" ht="15.75" thickBot="1" x14ac:dyDescent="0.3">
      <c r="B19" s="20" t="s">
        <v>12</v>
      </c>
      <c r="C19" s="21"/>
      <c r="D19" s="22"/>
      <c r="E19" s="23">
        <f>SUM(E11:E18)</f>
        <v>3164977.6469999999</v>
      </c>
      <c r="F19" s="23"/>
      <c r="G19" s="23"/>
      <c r="H19" s="23"/>
    </row>
    <row r="21" spans="1:9" ht="15.75" x14ac:dyDescent="0.25">
      <c r="B21" s="24" t="s">
        <v>13</v>
      </c>
    </row>
    <row r="25" spans="1:9" x14ac:dyDescent="0.25">
      <c r="B25" s="156" t="s">
        <v>43</v>
      </c>
      <c r="C25" s="156"/>
      <c r="E25" s="156" t="s">
        <v>44</v>
      </c>
      <c r="F25" s="156"/>
    </row>
    <row r="28" spans="1:9" x14ac:dyDescent="0.25">
      <c r="B28" s="157"/>
      <c r="C28" s="157"/>
      <c r="E28" s="157"/>
      <c r="F28" s="157"/>
    </row>
    <row r="29" spans="1:9" x14ac:dyDescent="0.25">
      <c r="B29" s="158"/>
      <c r="C29" s="158"/>
      <c r="E29" s="158"/>
      <c r="F29" s="158"/>
    </row>
    <row r="30" spans="1:9" x14ac:dyDescent="0.25">
      <c r="B30" s="25"/>
      <c r="C30" s="25"/>
    </row>
    <row r="31" spans="1:9" x14ac:dyDescent="0.25">
      <c r="A31" s="156" t="s">
        <v>45</v>
      </c>
      <c r="B31" s="156"/>
      <c r="C31" s="156"/>
      <c r="D31" s="156"/>
      <c r="E31" s="156"/>
      <c r="F31" s="156"/>
      <c r="G31" s="156"/>
      <c r="H31" s="156"/>
      <c r="I31" s="156"/>
    </row>
    <row r="32" spans="1:9" x14ac:dyDescent="0.25">
      <c r="B32" s="26"/>
      <c r="C32" s="26" t="s">
        <v>14</v>
      </c>
      <c r="D32" s="26"/>
      <c r="E32" s="26"/>
      <c r="F32" s="26"/>
    </row>
  </sheetData>
  <mergeCells count="15">
    <mergeCell ref="A31:I31"/>
    <mergeCell ref="B25:C25"/>
    <mergeCell ref="E25:F25"/>
    <mergeCell ref="B28:C28"/>
    <mergeCell ref="E28:F28"/>
    <mergeCell ref="B29:C29"/>
    <mergeCell ref="E29:F29"/>
    <mergeCell ref="B9:B10"/>
    <mergeCell ref="C9:D9"/>
    <mergeCell ref="F9:H9"/>
    <mergeCell ref="B4:H4"/>
    <mergeCell ref="B5:H5"/>
    <mergeCell ref="B6:H6"/>
    <mergeCell ref="B7:H7"/>
    <mergeCell ref="C8:D8"/>
  </mergeCells>
  <pageMargins left="0.70866141732283472" right="0.70866141732283472" top="0.74803149606299213" bottom="0.74803149606299213" header="0.31496062992125984" footer="0.31496062992125984"/>
  <pageSetup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55"/>
  <sheetViews>
    <sheetView showGridLines="0" topLeftCell="A34" zoomScaleNormal="100" workbookViewId="0">
      <selection sqref="A1:G58"/>
    </sheetView>
  </sheetViews>
  <sheetFormatPr baseColWidth="10" defaultRowHeight="15" x14ac:dyDescent="0.25"/>
  <cols>
    <col min="1" max="1" width="19.85546875" customWidth="1"/>
    <col min="2" max="2" width="44.85546875" customWidth="1"/>
    <col min="3" max="3" width="25.28515625" customWidth="1"/>
    <col min="4" max="4" width="22.42578125" customWidth="1"/>
    <col min="5" max="5" width="20" customWidth="1"/>
    <col min="6" max="6" width="16.28515625" customWidth="1"/>
    <col min="7" max="7" width="12.28515625" bestFit="1" customWidth="1"/>
    <col min="10" max="10" width="12.28515625" bestFit="1" customWidth="1"/>
  </cols>
  <sheetData>
    <row r="3" spans="1:12" ht="18.75" x14ac:dyDescent="0.3">
      <c r="A3" s="152" t="s">
        <v>25</v>
      </c>
      <c r="B3" s="152"/>
      <c r="C3" s="152"/>
      <c r="D3" s="152"/>
      <c r="E3" s="152"/>
    </row>
    <row r="4" spans="1:12" ht="15.75" x14ac:dyDescent="0.25">
      <c r="A4" s="161" t="s">
        <v>26</v>
      </c>
      <c r="B4" s="161"/>
      <c r="C4" s="161"/>
      <c r="D4" s="161"/>
      <c r="E4" s="161"/>
    </row>
    <row r="5" spans="1:12" x14ac:dyDescent="0.25">
      <c r="A5" s="162" t="s">
        <v>364</v>
      </c>
      <c r="B5" s="162"/>
      <c r="C5" s="162"/>
      <c r="D5" s="162"/>
      <c r="E5" s="162"/>
    </row>
    <row r="6" spans="1:12" ht="15.75" thickBot="1" x14ac:dyDescent="0.3">
      <c r="A6" s="163" t="s">
        <v>399</v>
      </c>
      <c r="B6" s="163"/>
      <c r="C6" s="163"/>
      <c r="D6" s="163"/>
      <c r="E6" s="163"/>
    </row>
    <row r="7" spans="1:12" ht="45" x14ac:dyDescent="0.25">
      <c r="A7" s="29" t="s">
        <v>365</v>
      </c>
      <c r="B7" s="30" t="s">
        <v>27</v>
      </c>
      <c r="C7" s="30" t="s">
        <v>366</v>
      </c>
      <c r="D7" s="31" t="s">
        <v>367</v>
      </c>
      <c r="E7" s="31" t="s">
        <v>368</v>
      </c>
    </row>
    <row r="8" spans="1:12" x14ac:dyDescent="0.25">
      <c r="A8" s="47" t="s">
        <v>36</v>
      </c>
      <c r="B8" s="46" t="s">
        <v>38</v>
      </c>
      <c r="C8" s="33" t="s">
        <v>136</v>
      </c>
      <c r="D8" s="32" t="s">
        <v>136</v>
      </c>
      <c r="E8" s="45">
        <v>0</v>
      </c>
    </row>
    <row r="9" spans="1:12" x14ac:dyDescent="0.25">
      <c r="A9" s="164" t="s">
        <v>33</v>
      </c>
      <c r="B9" s="164"/>
      <c r="C9" s="37"/>
      <c r="D9" s="37"/>
      <c r="E9" s="38">
        <f>+E8</f>
        <v>0</v>
      </c>
      <c r="G9" t="s">
        <v>136</v>
      </c>
    </row>
    <row r="10" spans="1:12" x14ac:dyDescent="0.25">
      <c r="A10" s="167"/>
      <c r="B10" s="19" t="s">
        <v>46</v>
      </c>
      <c r="C10" s="33">
        <v>45931</v>
      </c>
      <c r="D10" s="32">
        <v>452400000072</v>
      </c>
      <c r="E10" s="34">
        <v>4690475.87</v>
      </c>
      <c r="L10" s="35"/>
    </row>
    <row r="11" spans="1:12" x14ac:dyDescent="0.25">
      <c r="A11" s="167"/>
      <c r="B11" s="19" t="s">
        <v>47</v>
      </c>
      <c r="C11" s="33">
        <v>45931</v>
      </c>
      <c r="D11" s="32">
        <v>452400000014</v>
      </c>
      <c r="E11" s="34">
        <v>972123.49</v>
      </c>
      <c r="L11" s="35"/>
    </row>
    <row r="12" spans="1:12" x14ac:dyDescent="0.25">
      <c r="A12" s="167"/>
      <c r="B12" s="19" t="s">
        <v>47</v>
      </c>
      <c r="C12" s="33">
        <v>45959</v>
      </c>
      <c r="D12" s="32">
        <v>452400000002</v>
      </c>
      <c r="E12" s="34">
        <v>13587.01</v>
      </c>
      <c r="L12" s="35"/>
    </row>
    <row r="13" spans="1:12" x14ac:dyDescent="0.25">
      <c r="A13" s="167"/>
      <c r="B13" s="19" t="s">
        <v>40</v>
      </c>
      <c r="C13" s="33"/>
      <c r="D13" s="32"/>
      <c r="E13" s="34"/>
    </row>
    <row r="14" spans="1:12" x14ac:dyDescent="0.25">
      <c r="A14" s="167"/>
      <c r="B14" s="36" t="s">
        <v>28</v>
      </c>
      <c r="C14" s="19"/>
      <c r="D14" s="19"/>
      <c r="E14" s="19"/>
    </row>
    <row r="15" spans="1:12" x14ac:dyDescent="0.25">
      <c r="A15" s="167"/>
      <c r="B15" s="36" t="s">
        <v>29</v>
      </c>
      <c r="C15" s="19"/>
      <c r="D15" s="19"/>
      <c r="E15" s="19"/>
    </row>
    <row r="16" spans="1:12" x14ac:dyDescent="0.25">
      <c r="A16" s="167"/>
      <c r="B16" s="36" t="s">
        <v>30</v>
      </c>
      <c r="C16" s="19"/>
      <c r="D16" s="19"/>
      <c r="E16" s="19"/>
    </row>
    <row r="17" spans="1:7" x14ac:dyDescent="0.25">
      <c r="A17" s="167"/>
      <c r="B17" s="36" t="s">
        <v>31</v>
      </c>
      <c r="C17" s="19"/>
      <c r="D17" s="19"/>
      <c r="E17" s="19"/>
    </row>
    <row r="18" spans="1:7" x14ac:dyDescent="0.25">
      <c r="A18" s="167"/>
      <c r="B18" s="36" t="s">
        <v>32</v>
      </c>
      <c r="C18" s="19"/>
      <c r="D18" s="19"/>
      <c r="E18" s="19"/>
    </row>
    <row r="19" spans="1:7" x14ac:dyDescent="0.25">
      <c r="A19" s="167"/>
      <c r="B19" s="36" t="s">
        <v>37</v>
      </c>
      <c r="C19" s="19"/>
      <c r="D19" s="19"/>
      <c r="E19" s="19"/>
    </row>
    <row r="20" spans="1:7" x14ac:dyDescent="0.25">
      <c r="A20" s="164" t="s">
        <v>33</v>
      </c>
      <c r="B20" s="164"/>
      <c r="C20" s="37"/>
      <c r="D20" s="37"/>
      <c r="E20" s="38">
        <v>5988147.79</v>
      </c>
    </row>
    <row r="21" spans="1:7" x14ac:dyDescent="0.25">
      <c r="A21" s="168" t="s">
        <v>55</v>
      </c>
      <c r="B21" s="19" t="s">
        <v>34</v>
      </c>
      <c r="C21" s="19"/>
      <c r="D21" s="32"/>
      <c r="E21" s="19"/>
    </row>
    <row r="22" spans="1:7" ht="30" x14ac:dyDescent="0.25">
      <c r="A22" s="167"/>
      <c r="B22" s="48" t="s">
        <v>39</v>
      </c>
      <c r="C22" s="33">
        <v>45961</v>
      </c>
      <c r="D22" s="32"/>
      <c r="E22" s="34">
        <v>231460</v>
      </c>
    </row>
    <row r="23" spans="1:7" x14ac:dyDescent="0.25">
      <c r="A23" s="167"/>
      <c r="B23" s="19" t="s">
        <v>41</v>
      </c>
      <c r="C23" s="19"/>
      <c r="D23" s="32"/>
      <c r="E23" s="19"/>
    </row>
    <row r="24" spans="1:7" ht="30" x14ac:dyDescent="0.25">
      <c r="A24" s="167"/>
      <c r="B24" s="48" t="s">
        <v>42</v>
      </c>
      <c r="C24" s="19"/>
      <c r="D24" s="32"/>
      <c r="E24" s="19"/>
    </row>
    <row r="25" spans="1:7" x14ac:dyDescent="0.25">
      <c r="A25" s="167"/>
      <c r="B25" s="116" t="s">
        <v>369</v>
      </c>
      <c r="C25" s="33">
        <v>45961</v>
      </c>
      <c r="D25" s="32"/>
      <c r="E25" s="191">
        <v>109742</v>
      </c>
    </row>
    <row r="26" spans="1:7" ht="15.75" x14ac:dyDescent="0.25">
      <c r="A26" s="169"/>
      <c r="B26" s="40" t="s">
        <v>48</v>
      </c>
      <c r="C26" s="39"/>
      <c r="D26" s="32"/>
      <c r="E26" s="41"/>
      <c r="F26" s="50"/>
    </row>
    <row r="27" spans="1:7" x14ac:dyDescent="0.25">
      <c r="A27" s="170" t="s">
        <v>33</v>
      </c>
      <c r="B27" s="171"/>
      <c r="C27" s="37"/>
      <c r="D27" s="37"/>
      <c r="E27" s="38">
        <v>308702</v>
      </c>
    </row>
    <row r="28" spans="1:7" x14ac:dyDescent="0.25">
      <c r="A28" s="165" t="s">
        <v>35</v>
      </c>
      <c r="B28" s="166"/>
      <c r="C28" s="42"/>
      <c r="D28" s="42"/>
      <c r="E28" s="43">
        <f>+E9+E20+E27</f>
        <v>6296849.79</v>
      </c>
    </row>
    <row r="29" spans="1:7" ht="15" customHeight="1" x14ac:dyDescent="0.25">
      <c r="A29" s="117"/>
      <c r="B29" s="117"/>
      <c r="C29" s="118"/>
      <c r="D29" s="118"/>
      <c r="E29" s="119"/>
    </row>
    <row r="30" spans="1:7" ht="15" customHeight="1" x14ac:dyDescent="0.25">
      <c r="A30" s="159" t="s">
        <v>400</v>
      </c>
      <c r="B30" s="159"/>
      <c r="C30" s="159"/>
      <c r="D30" s="159"/>
      <c r="E30" s="159"/>
    </row>
    <row r="31" spans="1:7" x14ac:dyDescent="0.25">
      <c r="A31" s="159"/>
      <c r="B31" s="159"/>
      <c r="C31" s="159"/>
      <c r="D31" s="159"/>
      <c r="E31" s="159"/>
      <c r="G31" s="35"/>
    </row>
    <row r="32" spans="1:7" x14ac:dyDescent="0.25">
      <c r="A32" s="141"/>
      <c r="B32" s="141"/>
      <c r="C32" s="141"/>
      <c r="D32" s="141"/>
      <c r="E32" s="141"/>
    </row>
    <row r="33" spans="1:6" x14ac:dyDescent="0.25">
      <c r="A33" s="160" t="s">
        <v>401</v>
      </c>
      <c r="B33" s="160"/>
      <c r="C33" s="160"/>
      <c r="D33" s="160"/>
      <c r="E33" s="160"/>
    </row>
    <row r="34" spans="1:6" x14ac:dyDescent="0.25">
      <c r="A34" s="44"/>
      <c r="B34" s="44"/>
      <c r="C34" s="44"/>
      <c r="D34" s="44"/>
      <c r="E34" s="44"/>
    </row>
    <row r="35" spans="1:6" x14ac:dyDescent="0.25">
      <c r="A35" s="127" t="s">
        <v>385</v>
      </c>
      <c r="B35" s="127" t="s">
        <v>386</v>
      </c>
      <c r="C35" s="127" t="s">
        <v>387</v>
      </c>
      <c r="D35" s="128" t="s">
        <v>388</v>
      </c>
      <c r="E35" s="129"/>
    </row>
    <row r="36" spans="1:6" ht="15.75" thickBot="1" x14ac:dyDescent="0.3">
      <c r="A36" s="130" t="s">
        <v>389</v>
      </c>
      <c r="B36" s="192">
        <v>2044765.009560005</v>
      </c>
      <c r="C36" s="131">
        <v>2036668.5195600051</v>
      </c>
      <c r="D36" s="131">
        <v>2036668.5195600051</v>
      </c>
      <c r="E36" s="132"/>
    </row>
    <row r="37" spans="1:6" ht="15.75" thickTop="1" x14ac:dyDescent="0.25">
      <c r="A37" s="130" t="s">
        <v>390</v>
      </c>
      <c r="B37" s="133">
        <v>4534.4395000003569</v>
      </c>
      <c r="C37" s="133">
        <v>2090.129500000357</v>
      </c>
      <c r="D37" s="133">
        <v>2090.129500000357</v>
      </c>
      <c r="E37" s="139"/>
      <c r="F37" t="s">
        <v>136</v>
      </c>
    </row>
    <row r="38" spans="1:6" x14ac:dyDescent="0.25">
      <c r="A38" s="134"/>
      <c r="B38" s="134"/>
      <c r="C38" s="134"/>
      <c r="D38" s="134"/>
      <c r="E38" s="139"/>
    </row>
    <row r="39" spans="1:6" x14ac:dyDescent="0.25">
      <c r="A39" s="156"/>
      <c r="B39" s="156"/>
      <c r="D39" s="156"/>
      <c r="E39" s="156"/>
    </row>
    <row r="40" spans="1:6" x14ac:dyDescent="0.25">
      <c r="A40" s="25"/>
      <c r="B40" s="25"/>
    </row>
    <row r="41" spans="1:6" x14ac:dyDescent="0.25">
      <c r="A41" s="156"/>
      <c r="B41" s="156"/>
      <c r="C41" s="156"/>
      <c r="D41" s="156"/>
      <c r="E41" s="156"/>
    </row>
    <row r="42" spans="1:6" x14ac:dyDescent="0.25">
      <c r="A42" s="139"/>
      <c r="B42" s="156"/>
      <c r="C42" s="156"/>
      <c r="D42" s="156"/>
      <c r="E42" s="156"/>
    </row>
    <row r="43" spans="1:6" x14ac:dyDescent="0.25">
      <c r="A43" s="139"/>
      <c r="B43" s="139"/>
      <c r="D43" s="139"/>
      <c r="E43" s="139"/>
    </row>
    <row r="44" spans="1:6" x14ac:dyDescent="0.25">
      <c r="A44" s="156"/>
      <c r="B44" s="156"/>
      <c r="D44" s="156"/>
      <c r="E44" s="156"/>
    </row>
    <row r="45" spans="1:6" x14ac:dyDescent="0.25">
      <c r="A45" s="156" t="s">
        <v>43</v>
      </c>
      <c r="B45" s="156"/>
      <c r="D45" s="156" t="s">
        <v>44</v>
      </c>
      <c r="E45" s="156"/>
    </row>
    <row r="47" spans="1:6" x14ac:dyDescent="0.25">
      <c r="A47" s="140"/>
      <c r="B47" s="140"/>
      <c r="D47" s="140"/>
      <c r="E47" s="140"/>
    </row>
    <row r="48" spans="1:6" x14ac:dyDescent="0.25">
      <c r="A48" s="157"/>
      <c r="B48" s="157"/>
      <c r="D48" s="157"/>
      <c r="E48" s="157"/>
    </row>
    <row r="49" spans="1:5" x14ac:dyDescent="0.25">
      <c r="A49" s="158"/>
      <c r="B49" s="158"/>
      <c r="D49" s="158"/>
      <c r="E49" s="158"/>
    </row>
    <row r="50" spans="1:5" x14ac:dyDescent="0.25">
      <c r="A50" s="25"/>
      <c r="B50" s="25"/>
    </row>
    <row r="51" spans="1:5" x14ac:dyDescent="0.25">
      <c r="A51" s="156" t="s">
        <v>45</v>
      </c>
      <c r="B51" s="156"/>
      <c r="C51" s="156"/>
      <c r="D51" s="156"/>
      <c r="E51" s="156"/>
    </row>
    <row r="52" spans="1:5" x14ac:dyDescent="0.25">
      <c r="A52" s="139"/>
      <c r="B52" s="139" t="s">
        <v>14</v>
      </c>
      <c r="C52" s="139"/>
      <c r="D52" s="139"/>
      <c r="E52" s="139"/>
    </row>
    <row r="54" spans="1:5" x14ac:dyDescent="0.25">
      <c r="A54" s="172"/>
      <c r="B54" s="172"/>
      <c r="C54" s="172"/>
      <c r="D54" s="172"/>
      <c r="E54" s="172"/>
    </row>
    <row r="55" spans="1:5" x14ac:dyDescent="0.25">
      <c r="A55" s="156"/>
      <c r="B55" s="156"/>
      <c r="C55" s="156"/>
      <c r="D55" s="156"/>
      <c r="E55" s="156"/>
    </row>
  </sheetData>
  <mergeCells count="27">
    <mergeCell ref="A55:E55"/>
    <mergeCell ref="A30:E31"/>
    <mergeCell ref="A33:E33"/>
    <mergeCell ref="A39:B39"/>
    <mergeCell ref="D39:E39"/>
    <mergeCell ref="A41:E41"/>
    <mergeCell ref="A54:E54"/>
    <mergeCell ref="A44:B44"/>
    <mergeCell ref="D44:E44"/>
    <mergeCell ref="A48:B48"/>
    <mergeCell ref="D48:E48"/>
    <mergeCell ref="A45:B45"/>
    <mergeCell ref="D45:E45"/>
    <mergeCell ref="A49:B49"/>
    <mergeCell ref="D49:E49"/>
    <mergeCell ref="A51:E51"/>
    <mergeCell ref="B42:E42"/>
    <mergeCell ref="A3:E3"/>
    <mergeCell ref="A4:E4"/>
    <mergeCell ref="A5:E5"/>
    <mergeCell ref="A6:E6"/>
    <mergeCell ref="A9:B9"/>
    <mergeCell ref="A27:B27"/>
    <mergeCell ref="A10:A19"/>
    <mergeCell ref="A20:B20"/>
    <mergeCell ref="A21:A26"/>
    <mergeCell ref="A28:B28"/>
  </mergeCells>
  <pageMargins left="0.7" right="0.7" top="0.75" bottom="0.75" header="0.3" footer="0.3"/>
  <pageSetup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29"/>
  <sheetViews>
    <sheetView showGridLines="0" tabSelected="1" zoomScaleNormal="100" workbookViewId="0">
      <selection activeCell="D22" sqref="D22"/>
    </sheetView>
  </sheetViews>
  <sheetFormatPr baseColWidth="10" defaultRowHeight="12.75" x14ac:dyDescent="0.2"/>
  <cols>
    <col min="1" max="1" width="7.28515625" style="52" customWidth="1"/>
    <col min="2" max="2" width="18.5703125" style="52" customWidth="1"/>
    <col min="3" max="3" width="34.7109375" style="52" bestFit="1" customWidth="1"/>
    <col min="4" max="4" width="23.42578125" style="52" bestFit="1" customWidth="1"/>
    <col min="5" max="5" width="17.28515625" style="52" bestFit="1" customWidth="1"/>
    <col min="6" max="6" width="27.85546875" style="52" customWidth="1"/>
    <col min="7" max="7" width="17.42578125" style="52" customWidth="1"/>
    <col min="8" max="8" width="17.85546875" style="52" customWidth="1"/>
    <col min="9" max="9" width="15.28515625" style="52" customWidth="1"/>
    <col min="10" max="10" width="19.5703125" style="52" customWidth="1"/>
    <col min="11" max="11" width="18.28515625" style="52" bestFit="1" customWidth="1"/>
    <col min="12" max="12" width="10.140625" style="52" bestFit="1" customWidth="1"/>
    <col min="13" max="13" width="9.28515625" style="52" customWidth="1"/>
    <col min="14" max="14" width="27.140625" style="52" bestFit="1" customWidth="1"/>
    <col min="15" max="15" width="10.140625" style="52" bestFit="1" customWidth="1"/>
    <col min="16" max="16" width="10" style="52" customWidth="1"/>
    <col min="17" max="17" width="36.7109375" style="52" bestFit="1" customWidth="1"/>
    <col min="18" max="18" width="12.85546875" style="52" bestFit="1" customWidth="1"/>
    <col min="19" max="19" width="20.42578125" style="52" bestFit="1" customWidth="1"/>
    <col min="20" max="20" width="16.28515625" style="52" bestFit="1" customWidth="1"/>
    <col min="21" max="21" width="17.5703125" style="52" bestFit="1" customWidth="1"/>
    <col min="22" max="22" width="13.7109375" style="52" bestFit="1" customWidth="1"/>
    <col min="23" max="256" width="11.42578125" style="52"/>
    <col min="257" max="257" width="7.28515625" style="52" customWidth="1"/>
    <col min="258" max="259" width="11.28515625" style="52" bestFit="1" customWidth="1"/>
    <col min="260" max="260" width="9.7109375" style="52" customWidth="1"/>
    <col min="261" max="261" width="17.28515625" style="52" bestFit="1" customWidth="1"/>
    <col min="262" max="262" width="11" style="52" bestFit="1" customWidth="1"/>
    <col min="263" max="263" width="11.42578125" style="52"/>
    <col min="264" max="264" width="13.42578125" style="52" customWidth="1"/>
    <col min="265" max="265" width="15.28515625" style="52" customWidth="1"/>
    <col min="266" max="266" width="19.5703125" style="52" customWidth="1"/>
    <col min="267" max="267" width="18.28515625" style="52" bestFit="1" customWidth="1"/>
    <col min="268" max="268" width="10.85546875" style="52" bestFit="1" customWidth="1"/>
    <col min="269" max="269" width="10.7109375" style="52" bestFit="1" customWidth="1"/>
    <col min="270" max="270" width="13.85546875" style="52" customWidth="1"/>
    <col min="271" max="271" width="10.85546875" style="52" bestFit="1" customWidth="1"/>
    <col min="272" max="272" width="10.7109375" style="52" bestFit="1" customWidth="1"/>
    <col min="273" max="273" width="18" style="52" customWidth="1"/>
    <col min="274" max="274" width="13.140625" style="52" customWidth="1"/>
    <col min="275" max="275" width="16" style="52" customWidth="1"/>
    <col min="276" max="276" width="14.85546875" style="52" customWidth="1"/>
    <col min="277" max="277" width="15.28515625" style="52" customWidth="1"/>
    <col min="278" max="278" width="19.28515625" style="52" bestFit="1" customWidth="1"/>
    <col min="279" max="512" width="11.42578125" style="52"/>
    <col min="513" max="513" width="7.28515625" style="52" customWidth="1"/>
    <col min="514" max="515" width="11.28515625" style="52" bestFit="1" customWidth="1"/>
    <col min="516" max="516" width="9.7109375" style="52" customWidth="1"/>
    <col min="517" max="517" width="17.28515625" style="52" bestFit="1" customWidth="1"/>
    <col min="518" max="518" width="11" style="52" bestFit="1" customWidth="1"/>
    <col min="519" max="519" width="11.42578125" style="52"/>
    <col min="520" max="520" width="13.42578125" style="52" customWidth="1"/>
    <col min="521" max="521" width="15.28515625" style="52" customWidth="1"/>
    <col min="522" max="522" width="19.5703125" style="52" customWidth="1"/>
    <col min="523" max="523" width="18.28515625" style="52" bestFit="1" customWidth="1"/>
    <col min="524" max="524" width="10.85546875" style="52" bestFit="1" customWidth="1"/>
    <col min="525" max="525" width="10.7109375" style="52" bestFit="1" customWidth="1"/>
    <col min="526" max="526" width="13.85546875" style="52" customWidth="1"/>
    <col min="527" max="527" width="10.85546875" style="52" bestFit="1" customWidth="1"/>
    <col min="528" max="528" width="10.7109375" style="52" bestFit="1" customWidth="1"/>
    <col min="529" max="529" width="18" style="52" customWidth="1"/>
    <col min="530" max="530" width="13.140625" style="52" customWidth="1"/>
    <col min="531" max="531" width="16" style="52" customWidth="1"/>
    <col min="532" max="532" width="14.85546875" style="52" customWidth="1"/>
    <col min="533" max="533" width="15.28515625" style="52" customWidth="1"/>
    <col min="534" max="534" width="19.28515625" style="52" bestFit="1" customWidth="1"/>
    <col min="535" max="768" width="11.42578125" style="52"/>
    <col min="769" max="769" width="7.28515625" style="52" customWidth="1"/>
    <col min="770" max="771" width="11.28515625" style="52" bestFit="1" customWidth="1"/>
    <col min="772" max="772" width="9.7109375" style="52" customWidth="1"/>
    <col min="773" max="773" width="17.28515625" style="52" bestFit="1" customWidth="1"/>
    <col min="774" max="774" width="11" style="52" bestFit="1" customWidth="1"/>
    <col min="775" max="775" width="11.42578125" style="52"/>
    <col min="776" max="776" width="13.42578125" style="52" customWidth="1"/>
    <col min="777" max="777" width="15.28515625" style="52" customWidth="1"/>
    <col min="778" max="778" width="19.5703125" style="52" customWidth="1"/>
    <col min="779" max="779" width="18.28515625" style="52" bestFit="1" customWidth="1"/>
    <col min="780" max="780" width="10.85546875" style="52" bestFit="1" customWidth="1"/>
    <col min="781" max="781" width="10.7109375" style="52" bestFit="1" customWidth="1"/>
    <col min="782" max="782" width="13.85546875" style="52" customWidth="1"/>
    <col min="783" max="783" width="10.85546875" style="52" bestFit="1" customWidth="1"/>
    <col min="784" max="784" width="10.7109375" style="52" bestFit="1" customWidth="1"/>
    <col min="785" max="785" width="18" style="52" customWidth="1"/>
    <col min="786" max="786" width="13.140625" style="52" customWidth="1"/>
    <col min="787" max="787" width="16" style="52" customWidth="1"/>
    <col min="788" max="788" width="14.85546875" style="52" customWidth="1"/>
    <col min="789" max="789" width="15.28515625" style="52" customWidth="1"/>
    <col min="790" max="790" width="19.28515625" style="52" bestFit="1" customWidth="1"/>
    <col min="791" max="1024" width="11.42578125" style="52"/>
    <col min="1025" max="1025" width="7.28515625" style="52" customWidth="1"/>
    <col min="1026" max="1027" width="11.28515625" style="52" bestFit="1" customWidth="1"/>
    <col min="1028" max="1028" width="9.7109375" style="52" customWidth="1"/>
    <col min="1029" max="1029" width="17.28515625" style="52" bestFit="1" customWidth="1"/>
    <col min="1030" max="1030" width="11" style="52" bestFit="1" customWidth="1"/>
    <col min="1031" max="1031" width="11.42578125" style="52"/>
    <col min="1032" max="1032" width="13.42578125" style="52" customWidth="1"/>
    <col min="1033" max="1033" width="15.28515625" style="52" customWidth="1"/>
    <col min="1034" max="1034" width="19.5703125" style="52" customWidth="1"/>
    <col min="1035" max="1035" width="18.28515625" style="52" bestFit="1" customWidth="1"/>
    <col min="1036" max="1036" width="10.85546875" style="52" bestFit="1" customWidth="1"/>
    <col min="1037" max="1037" width="10.7109375" style="52" bestFit="1" customWidth="1"/>
    <col min="1038" max="1038" width="13.85546875" style="52" customWidth="1"/>
    <col min="1039" max="1039" width="10.85546875" style="52" bestFit="1" customWidth="1"/>
    <col min="1040" max="1040" width="10.7109375" style="52" bestFit="1" customWidth="1"/>
    <col min="1041" max="1041" width="18" style="52" customWidth="1"/>
    <col min="1042" max="1042" width="13.140625" style="52" customWidth="1"/>
    <col min="1043" max="1043" width="16" style="52" customWidth="1"/>
    <col min="1044" max="1044" width="14.85546875" style="52" customWidth="1"/>
    <col min="1045" max="1045" width="15.28515625" style="52" customWidth="1"/>
    <col min="1046" max="1046" width="19.28515625" style="52" bestFit="1" customWidth="1"/>
    <col min="1047" max="1280" width="11.42578125" style="52"/>
    <col min="1281" max="1281" width="7.28515625" style="52" customWidth="1"/>
    <col min="1282" max="1283" width="11.28515625" style="52" bestFit="1" customWidth="1"/>
    <col min="1284" max="1284" width="9.7109375" style="52" customWidth="1"/>
    <col min="1285" max="1285" width="17.28515625" style="52" bestFit="1" customWidth="1"/>
    <col min="1286" max="1286" width="11" style="52" bestFit="1" customWidth="1"/>
    <col min="1287" max="1287" width="11.42578125" style="52"/>
    <col min="1288" max="1288" width="13.42578125" style="52" customWidth="1"/>
    <col min="1289" max="1289" width="15.28515625" style="52" customWidth="1"/>
    <col min="1290" max="1290" width="19.5703125" style="52" customWidth="1"/>
    <col min="1291" max="1291" width="18.28515625" style="52" bestFit="1" customWidth="1"/>
    <col min="1292" max="1292" width="10.85546875" style="52" bestFit="1" customWidth="1"/>
    <col min="1293" max="1293" width="10.7109375" style="52" bestFit="1" customWidth="1"/>
    <col min="1294" max="1294" width="13.85546875" style="52" customWidth="1"/>
    <col min="1295" max="1295" width="10.85546875" style="52" bestFit="1" customWidth="1"/>
    <col min="1296" max="1296" width="10.7109375" style="52" bestFit="1" customWidth="1"/>
    <col min="1297" max="1297" width="18" style="52" customWidth="1"/>
    <col min="1298" max="1298" width="13.140625" style="52" customWidth="1"/>
    <col min="1299" max="1299" width="16" style="52" customWidth="1"/>
    <col min="1300" max="1300" width="14.85546875" style="52" customWidth="1"/>
    <col min="1301" max="1301" width="15.28515625" style="52" customWidth="1"/>
    <col min="1302" max="1302" width="19.28515625" style="52" bestFit="1" customWidth="1"/>
    <col min="1303" max="1536" width="11.42578125" style="52"/>
    <col min="1537" max="1537" width="7.28515625" style="52" customWidth="1"/>
    <col min="1538" max="1539" width="11.28515625" style="52" bestFit="1" customWidth="1"/>
    <col min="1540" max="1540" width="9.7109375" style="52" customWidth="1"/>
    <col min="1541" max="1541" width="17.28515625" style="52" bestFit="1" customWidth="1"/>
    <col min="1542" max="1542" width="11" style="52" bestFit="1" customWidth="1"/>
    <col min="1543" max="1543" width="11.42578125" style="52"/>
    <col min="1544" max="1544" width="13.42578125" style="52" customWidth="1"/>
    <col min="1545" max="1545" width="15.28515625" style="52" customWidth="1"/>
    <col min="1546" max="1546" width="19.5703125" style="52" customWidth="1"/>
    <col min="1547" max="1547" width="18.28515625" style="52" bestFit="1" customWidth="1"/>
    <col min="1548" max="1548" width="10.85546875" style="52" bestFit="1" customWidth="1"/>
    <col min="1549" max="1549" width="10.7109375" style="52" bestFit="1" customWidth="1"/>
    <col min="1550" max="1550" width="13.85546875" style="52" customWidth="1"/>
    <col min="1551" max="1551" width="10.85546875" style="52" bestFit="1" customWidth="1"/>
    <col min="1552" max="1552" width="10.7109375" style="52" bestFit="1" customWidth="1"/>
    <col min="1553" max="1553" width="18" style="52" customWidth="1"/>
    <col min="1554" max="1554" width="13.140625" style="52" customWidth="1"/>
    <col min="1555" max="1555" width="16" style="52" customWidth="1"/>
    <col min="1556" max="1556" width="14.85546875" style="52" customWidth="1"/>
    <col min="1557" max="1557" width="15.28515625" style="52" customWidth="1"/>
    <col min="1558" max="1558" width="19.28515625" style="52" bestFit="1" customWidth="1"/>
    <col min="1559" max="1792" width="11.42578125" style="52"/>
    <col min="1793" max="1793" width="7.28515625" style="52" customWidth="1"/>
    <col min="1794" max="1795" width="11.28515625" style="52" bestFit="1" customWidth="1"/>
    <col min="1796" max="1796" width="9.7109375" style="52" customWidth="1"/>
    <col min="1797" max="1797" width="17.28515625" style="52" bestFit="1" customWidth="1"/>
    <col min="1798" max="1798" width="11" style="52" bestFit="1" customWidth="1"/>
    <col min="1799" max="1799" width="11.42578125" style="52"/>
    <col min="1800" max="1800" width="13.42578125" style="52" customWidth="1"/>
    <col min="1801" max="1801" width="15.28515625" style="52" customWidth="1"/>
    <col min="1802" max="1802" width="19.5703125" style="52" customWidth="1"/>
    <col min="1803" max="1803" width="18.28515625" style="52" bestFit="1" customWidth="1"/>
    <col min="1804" max="1804" width="10.85546875" style="52" bestFit="1" customWidth="1"/>
    <col min="1805" max="1805" width="10.7109375" style="52" bestFit="1" customWidth="1"/>
    <col min="1806" max="1806" width="13.85546875" style="52" customWidth="1"/>
    <col min="1807" max="1807" width="10.85546875" style="52" bestFit="1" customWidth="1"/>
    <col min="1808" max="1808" width="10.7109375" style="52" bestFit="1" customWidth="1"/>
    <col min="1809" max="1809" width="18" style="52" customWidth="1"/>
    <col min="1810" max="1810" width="13.140625" style="52" customWidth="1"/>
    <col min="1811" max="1811" width="16" style="52" customWidth="1"/>
    <col min="1812" max="1812" width="14.85546875" style="52" customWidth="1"/>
    <col min="1813" max="1813" width="15.28515625" style="52" customWidth="1"/>
    <col min="1814" max="1814" width="19.28515625" style="52" bestFit="1" customWidth="1"/>
    <col min="1815" max="2048" width="11.42578125" style="52"/>
    <col min="2049" max="2049" width="7.28515625" style="52" customWidth="1"/>
    <col min="2050" max="2051" width="11.28515625" style="52" bestFit="1" customWidth="1"/>
    <col min="2052" max="2052" width="9.7109375" style="52" customWidth="1"/>
    <col min="2053" max="2053" width="17.28515625" style="52" bestFit="1" customWidth="1"/>
    <col min="2054" max="2054" width="11" style="52" bestFit="1" customWidth="1"/>
    <col min="2055" max="2055" width="11.42578125" style="52"/>
    <col min="2056" max="2056" width="13.42578125" style="52" customWidth="1"/>
    <col min="2057" max="2057" width="15.28515625" style="52" customWidth="1"/>
    <col min="2058" max="2058" width="19.5703125" style="52" customWidth="1"/>
    <col min="2059" max="2059" width="18.28515625" style="52" bestFit="1" customWidth="1"/>
    <col min="2060" max="2060" width="10.85546875" style="52" bestFit="1" customWidth="1"/>
    <col min="2061" max="2061" width="10.7109375" style="52" bestFit="1" customWidth="1"/>
    <col min="2062" max="2062" width="13.85546875" style="52" customWidth="1"/>
    <col min="2063" max="2063" width="10.85546875" style="52" bestFit="1" customWidth="1"/>
    <col min="2064" max="2064" width="10.7109375" style="52" bestFit="1" customWidth="1"/>
    <col min="2065" max="2065" width="18" style="52" customWidth="1"/>
    <col min="2066" max="2066" width="13.140625" style="52" customWidth="1"/>
    <col min="2067" max="2067" width="16" style="52" customWidth="1"/>
    <col min="2068" max="2068" width="14.85546875" style="52" customWidth="1"/>
    <col min="2069" max="2069" width="15.28515625" style="52" customWidth="1"/>
    <col min="2070" max="2070" width="19.28515625" style="52" bestFit="1" customWidth="1"/>
    <col min="2071" max="2304" width="11.42578125" style="52"/>
    <col min="2305" max="2305" width="7.28515625" style="52" customWidth="1"/>
    <col min="2306" max="2307" width="11.28515625" style="52" bestFit="1" customWidth="1"/>
    <col min="2308" max="2308" width="9.7109375" style="52" customWidth="1"/>
    <col min="2309" max="2309" width="17.28515625" style="52" bestFit="1" customWidth="1"/>
    <col min="2310" max="2310" width="11" style="52" bestFit="1" customWidth="1"/>
    <col min="2311" max="2311" width="11.42578125" style="52"/>
    <col min="2312" max="2312" width="13.42578125" style="52" customWidth="1"/>
    <col min="2313" max="2313" width="15.28515625" style="52" customWidth="1"/>
    <col min="2314" max="2314" width="19.5703125" style="52" customWidth="1"/>
    <col min="2315" max="2315" width="18.28515625" style="52" bestFit="1" customWidth="1"/>
    <col min="2316" max="2316" width="10.85546875" style="52" bestFit="1" customWidth="1"/>
    <col min="2317" max="2317" width="10.7109375" style="52" bestFit="1" customWidth="1"/>
    <col min="2318" max="2318" width="13.85546875" style="52" customWidth="1"/>
    <col min="2319" max="2319" width="10.85546875" style="52" bestFit="1" customWidth="1"/>
    <col min="2320" max="2320" width="10.7109375" style="52" bestFit="1" customWidth="1"/>
    <col min="2321" max="2321" width="18" style="52" customWidth="1"/>
    <col min="2322" max="2322" width="13.140625" style="52" customWidth="1"/>
    <col min="2323" max="2323" width="16" style="52" customWidth="1"/>
    <col min="2324" max="2324" width="14.85546875" style="52" customWidth="1"/>
    <col min="2325" max="2325" width="15.28515625" style="52" customWidth="1"/>
    <col min="2326" max="2326" width="19.28515625" style="52" bestFit="1" customWidth="1"/>
    <col min="2327" max="2560" width="11.42578125" style="52"/>
    <col min="2561" max="2561" width="7.28515625" style="52" customWidth="1"/>
    <col min="2562" max="2563" width="11.28515625" style="52" bestFit="1" customWidth="1"/>
    <col min="2564" max="2564" width="9.7109375" style="52" customWidth="1"/>
    <col min="2565" max="2565" width="17.28515625" style="52" bestFit="1" customWidth="1"/>
    <col min="2566" max="2566" width="11" style="52" bestFit="1" customWidth="1"/>
    <col min="2567" max="2567" width="11.42578125" style="52"/>
    <col min="2568" max="2568" width="13.42578125" style="52" customWidth="1"/>
    <col min="2569" max="2569" width="15.28515625" style="52" customWidth="1"/>
    <col min="2570" max="2570" width="19.5703125" style="52" customWidth="1"/>
    <col min="2571" max="2571" width="18.28515625" style="52" bestFit="1" customWidth="1"/>
    <col min="2572" max="2572" width="10.85546875" style="52" bestFit="1" customWidth="1"/>
    <col min="2573" max="2573" width="10.7109375" style="52" bestFit="1" customWidth="1"/>
    <col min="2574" max="2574" width="13.85546875" style="52" customWidth="1"/>
    <col min="2575" max="2575" width="10.85546875" style="52" bestFit="1" customWidth="1"/>
    <col min="2576" max="2576" width="10.7109375" style="52" bestFit="1" customWidth="1"/>
    <col min="2577" max="2577" width="18" style="52" customWidth="1"/>
    <col min="2578" max="2578" width="13.140625" style="52" customWidth="1"/>
    <col min="2579" max="2579" width="16" style="52" customWidth="1"/>
    <col min="2580" max="2580" width="14.85546875" style="52" customWidth="1"/>
    <col min="2581" max="2581" width="15.28515625" style="52" customWidth="1"/>
    <col min="2582" max="2582" width="19.28515625" style="52" bestFit="1" customWidth="1"/>
    <col min="2583" max="2816" width="11.42578125" style="52"/>
    <col min="2817" max="2817" width="7.28515625" style="52" customWidth="1"/>
    <col min="2818" max="2819" width="11.28515625" style="52" bestFit="1" customWidth="1"/>
    <col min="2820" max="2820" width="9.7109375" style="52" customWidth="1"/>
    <col min="2821" max="2821" width="17.28515625" style="52" bestFit="1" customWidth="1"/>
    <col min="2822" max="2822" width="11" style="52" bestFit="1" customWidth="1"/>
    <col min="2823" max="2823" width="11.42578125" style="52"/>
    <col min="2824" max="2824" width="13.42578125" style="52" customWidth="1"/>
    <col min="2825" max="2825" width="15.28515625" style="52" customWidth="1"/>
    <col min="2826" max="2826" width="19.5703125" style="52" customWidth="1"/>
    <col min="2827" max="2827" width="18.28515625" style="52" bestFit="1" customWidth="1"/>
    <col min="2828" max="2828" width="10.85546875" style="52" bestFit="1" customWidth="1"/>
    <col min="2829" max="2829" width="10.7109375" style="52" bestFit="1" customWidth="1"/>
    <col min="2830" max="2830" width="13.85546875" style="52" customWidth="1"/>
    <col min="2831" max="2831" width="10.85546875" style="52" bestFit="1" customWidth="1"/>
    <col min="2832" max="2832" width="10.7109375" style="52" bestFit="1" customWidth="1"/>
    <col min="2833" max="2833" width="18" style="52" customWidth="1"/>
    <col min="2834" max="2834" width="13.140625" style="52" customWidth="1"/>
    <col min="2835" max="2835" width="16" style="52" customWidth="1"/>
    <col min="2836" max="2836" width="14.85546875" style="52" customWidth="1"/>
    <col min="2837" max="2837" width="15.28515625" style="52" customWidth="1"/>
    <col min="2838" max="2838" width="19.28515625" style="52" bestFit="1" customWidth="1"/>
    <col min="2839" max="3072" width="11.42578125" style="52"/>
    <col min="3073" max="3073" width="7.28515625" style="52" customWidth="1"/>
    <col min="3074" max="3075" width="11.28515625" style="52" bestFit="1" customWidth="1"/>
    <col min="3076" max="3076" width="9.7109375" style="52" customWidth="1"/>
    <col min="3077" max="3077" width="17.28515625" style="52" bestFit="1" customWidth="1"/>
    <col min="3078" max="3078" width="11" style="52" bestFit="1" customWidth="1"/>
    <col min="3079" max="3079" width="11.42578125" style="52"/>
    <col min="3080" max="3080" width="13.42578125" style="52" customWidth="1"/>
    <col min="3081" max="3081" width="15.28515625" style="52" customWidth="1"/>
    <col min="3082" max="3082" width="19.5703125" style="52" customWidth="1"/>
    <col min="3083" max="3083" width="18.28515625" style="52" bestFit="1" customWidth="1"/>
    <col min="3084" max="3084" width="10.85546875" style="52" bestFit="1" customWidth="1"/>
    <col min="3085" max="3085" width="10.7109375" style="52" bestFit="1" customWidth="1"/>
    <col min="3086" max="3086" width="13.85546875" style="52" customWidth="1"/>
    <col min="3087" max="3087" width="10.85546875" style="52" bestFit="1" customWidth="1"/>
    <col min="3088" max="3088" width="10.7109375" style="52" bestFit="1" customWidth="1"/>
    <col min="3089" max="3089" width="18" style="52" customWidth="1"/>
    <col min="3090" max="3090" width="13.140625" style="52" customWidth="1"/>
    <col min="3091" max="3091" width="16" style="52" customWidth="1"/>
    <col min="3092" max="3092" width="14.85546875" style="52" customWidth="1"/>
    <col min="3093" max="3093" width="15.28515625" style="52" customWidth="1"/>
    <col min="3094" max="3094" width="19.28515625" style="52" bestFit="1" customWidth="1"/>
    <col min="3095" max="3328" width="11.42578125" style="52"/>
    <col min="3329" max="3329" width="7.28515625" style="52" customWidth="1"/>
    <col min="3330" max="3331" width="11.28515625" style="52" bestFit="1" customWidth="1"/>
    <col min="3332" max="3332" width="9.7109375" style="52" customWidth="1"/>
    <col min="3333" max="3333" width="17.28515625" style="52" bestFit="1" customWidth="1"/>
    <col min="3334" max="3334" width="11" style="52" bestFit="1" customWidth="1"/>
    <col min="3335" max="3335" width="11.42578125" style="52"/>
    <col min="3336" max="3336" width="13.42578125" style="52" customWidth="1"/>
    <col min="3337" max="3337" width="15.28515625" style="52" customWidth="1"/>
    <col min="3338" max="3338" width="19.5703125" style="52" customWidth="1"/>
    <col min="3339" max="3339" width="18.28515625" style="52" bestFit="1" customWidth="1"/>
    <col min="3340" max="3340" width="10.85546875" style="52" bestFit="1" customWidth="1"/>
    <col min="3341" max="3341" width="10.7109375" style="52" bestFit="1" customWidth="1"/>
    <col min="3342" max="3342" width="13.85546875" style="52" customWidth="1"/>
    <col min="3343" max="3343" width="10.85546875" style="52" bestFit="1" customWidth="1"/>
    <col min="3344" max="3344" width="10.7109375" style="52" bestFit="1" customWidth="1"/>
    <col min="3345" max="3345" width="18" style="52" customWidth="1"/>
    <col min="3346" max="3346" width="13.140625" style="52" customWidth="1"/>
    <col min="3347" max="3347" width="16" style="52" customWidth="1"/>
    <col min="3348" max="3348" width="14.85546875" style="52" customWidth="1"/>
    <col min="3349" max="3349" width="15.28515625" style="52" customWidth="1"/>
    <col min="3350" max="3350" width="19.28515625" style="52" bestFit="1" customWidth="1"/>
    <col min="3351" max="3584" width="11.42578125" style="52"/>
    <col min="3585" max="3585" width="7.28515625" style="52" customWidth="1"/>
    <col min="3586" max="3587" width="11.28515625" style="52" bestFit="1" customWidth="1"/>
    <col min="3588" max="3588" width="9.7109375" style="52" customWidth="1"/>
    <col min="3589" max="3589" width="17.28515625" style="52" bestFit="1" customWidth="1"/>
    <col min="3590" max="3590" width="11" style="52" bestFit="1" customWidth="1"/>
    <col min="3591" max="3591" width="11.42578125" style="52"/>
    <col min="3592" max="3592" width="13.42578125" style="52" customWidth="1"/>
    <col min="3593" max="3593" width="15.28515625" style="52" customWidth="1"/>
    <col min="3594" max="3594" width="19.5703125" style="52" customWidth="1"/>
    <col min="3595" max="3595" width="18.28515625" style="52" bestFit="1" customWidth="1"/>
    <col min="3596" max="3596" width="10.85546875" style="52" bestFit="1" customWidth="1"/>
    <col min="3597" max="3597" width="10.7109375" style="52" bestFit="1" customWidth="1"/>
    <col min="3598" max="3598" width="13.85546875" style="52" customWidth="1"/>
    <col min="3599" max="3599" width="10.85546875" style="52" bestFit="1" customWidth="1"/>
    <col min="3600" max="3600" width="10.7109375" style="52" bestFit="1" customWidth="1"/>
    <col min="3601" max="3601" width="18" style="52" customWidth="1"/>
    <col min="3602" max="3602" width="13.140625" style="52" customWidth="1"/>
    <col min="3603" max="3603" width="16" style="52" customWidth="1"/>
    <col min="3604" max="3604" width="14.85546875" style="52" customWidth="1"/>
    <col min="3605" max="3605" width="15.28515625" style="52" customWidth="1"/>
    <col min="3606" max="3606" width="19.28515625" style="52" bestFit="1" customWidth="1"/>
    <col min="3607" max="3840" width="11.42578125" style="52"/>
    <col min="3841" max="3841" width="7.28515625" style="52" customWidth="1"/>
    <col min="3842" max="3843" width="11.28515625" style="52" bestFit="1" customWidth="1"/>
    <col min="3844" max="3844" width="9.7109375" style="52" customWidth="1"/>
    <col min="3845" max="3845" width="17.28515625" style="52" bestFit="1" customWidth="1"/>
    <col min="3846" max="3846" width="11" style="52" bestFit="1" customWidth="1"/>
    <col min="3847" max="3847" width="11.42578125" style="52"/>
    <col min="3848" max="3848" width="13.42578125" style="52" customWidth="1"/>
    <col min="3849" max="3849" width="15.28515625" style="52" customWidth="1"/>
    <col min="3850" max="3850" width="19.5703125" style="52" customWidth="1"/>
    <col min="3851" max="3851" width="18.28515625" style="52" bestFit="1" customWidth="1"/>
    <col min="3852" max="3852" width="10.85546875" style="52" bestFit="1" customWidth="1"/>
    <col min="3853" max="3853" width="10.7109375" style="52" bestFit="1" customWidth="1"/>
    <col min="3854" max="3854" width="13.85546875" style="52" customWidth="1"/>
    <col min="3855" max="3855" width="10.85546875" style="52" bestFit="1" customWidth="1"/>
    <col min="3856" max="3856" width="10.7109375" style="52" bestFit="1" customWidth="1"/>
    <col min="3857" max="3857" width="18" style="52" customWidth="1"/>
    <col min="3858" max="3858" width="13.140625" style="52" customWidth="1"/>
    <col min="3859" max="3859" width="16" style="52" customWidth="1"/>
    <col min="3860" max="3860" width="14.85546875" style="52" customWidth="1"/>
    <col min="3861" max="3861" width="15.28515625" style="52" customWidth="1"/>
    <col min="3862" max="3862" width="19.28515625" style="52" bestFit="1" customWidth="1"/>
    <col min="3863" max="4096" width="11.42578125" style="52"/>
    <col min="4097" max="4097" width="7.28515625" style="52" customWidth="1"/>
    <col min="4098" max="4099" width="11.28515625" style="52" bestFit="1" customWidth="1"/>
    <col min="4100" max="4100" width="9.7109375" style="52" customWidth="1"/>
    <col min="4101" max="4101" width="17.28515625" style="52" bestFit="1" customWidth="1"/>
    <col min="4102" max="4102" width="11" style="52" bestFit="1" customWidth="1"/>
    <col min="4103" max="4103" width="11.42578125" style="52"/>
    <col min="4104" max="4104" width="13.42578125" style="52" customWidth="1"/>
    <col min="4105" max="4105" width="15.28515625" style="52" customWidth="1"/>
    <col min="4106" max="4106" width="19.5703125" style="52" customWidth="1"/>
    <col min="4107" max="4107" width="18.28515625" style="52" bestFit="1" customWidth="1"/>
    <col min="4108" max="4108" width="10.85546875" style="52" bestFit="1" customWidth="1"/>
    <col min="4109" max="4109" width="10.7109375" style="52" bestFit="1" customWidth="1"/>
    <col min="4110" max="4110" width="13.85546875" style="52" customWidth="1"/>
    <col min="4111" max="4111" width="10.85546875" style="52" bestFit="1" customWidth="1"/>
    <col min="4112" max="4112" width="10.7109375" style="52" bestFit="1" customWidth="1"/>
    <col min="4113" max="4113" width="18" style="52" customWidth="1"/>
    <col min="4114" max="4114" width="13.140625" style="52" customWidth="1"/>
    <col min="4115" max="4115" width="16" style="52" customWidth="1"/>
    <col min="4116" max="4116" width="14.85546875" style="52" customWidth="1"/>
    <col min="4117" max="4117" width="15.28515625" style="52" customWidth="1"/>
    <col min="4118" max="4118" width="19.28515625" style="52" bestFit="1" customWidth="1"/>
    <col min="4119" max="4352" width="11.42578125" style="52"/>
    <col min="4353" max="4353" width="7.28515625" style="52" customWidth="1"/>
    <col min="4354" max="4355" width="11.28515625" style="52" bestFit="1" customWidth="1"/>
    <col min="4356" max="4356" width="9.7109375" style="52" customWidth="1"/>
    <col min="4357" max="4357" width="17.28515625" style="52" bestFit="1" customWidth="1"/>
    <col min="4358" max="4358" width="11" style="52" bestFit="1" customWidth="1"/>
    <col min="4359" max="4359" width="11.42578125" style="52"/>
    <col min="4360" max="4360" width="13.42578125" style="52" customWidth="1"/>
    <col min="4361" max="4361" width="15.28515625" style="52" customWidth="1"/>
    <col min="4362" max="4362" width="19.5703125" style="52" customWidth="1"/>
    <col min="4363" max="4363" width="18.28515625" style="52" bestFit="1" customWidth="1"/>
    <col min="4364" max="4364" width="10.85546875" style="52" bestFit="1" customWidth="1"/>
    <col min="4365" max="4365" width="10.7109375" style="52" bestFit="1" customWidth="1"/>
    <col min="4366" max="4366" width="13.85546875" style="52" customWidth="1"/>
    <col min="4367" max="4367" width="10.85546875" style="52" bestFit="1" customWidth="1"/>
    <col min="4368" max="4368" width="10.7109375" style="52" bestFit="1" customWidth="1"/>
    <col min="4369" max="4369" width="18" style="52" customWidth="1"/>
    <col min="4370" max="4370" width="13.140625" style="52" customWidth="1"/>
    <col min="4371" max="4371" width="16" style="52" customWidth="1"/>
    <col min="4372" max="4372" width="14.85546875" style="52" customWidth="1"/>
    <col min="4373" max="4373" width="15.28515625" style="52" customWidth="1"/>
    <col min="4374" max="4374" width="19.28515625" style="52" bestFit="1" customWidth="1"/>
    <col min="4375" max="4608" width="11.42578125" style="52"/>
    <col min="4609" max="4609" width="7.28515625" style="52" customWidth="1"/>
    <col min="4610" max="4611" width="11.28515625" style="52" bestFit="1" customWidth="1"/>
    <col min="4612" max="4612" width="9.7109375" style="52" customWidth="1"/>
    <col min="4613" max="4613" width="17.28515625" style="52" bestFit="1" customWidth="1"/>
    <col min="4614" max="4614" width="11" style="52" bestFit="1" customWidth="1"/>
    <col min="4615" max="4615" width="11.42578125" style="52"/>
    <col min="4616" max="4616" width="13.42578125" style="52" customWidth="1"/>
    <col min="4617" max="4617" width="15.28515625" style="52" customWidth="1"/>
    <col min="4618" max="4618" width="19.5703125" style="52" customWidth="1"/>
    <col min="4619" max="4619" width="18.28515625" style="52" bestFit="1" customWidth="1"/>
    <col min="4620" max="4620" width="10.85546875" style="52" bestFit="1" customWidth="1"/>
    <col min="4621" max="4621" width="10.7109375" style="52" bestFit="1" customWidth="1"/>
    <col min="4622" max="4622" width="13.85546875" style="52" customWidth="1"/>
    <col min="4623" max="4623" width="10.85546875" style="52" bestFit="1" customWidth="1"/>
    <col min="4624" max="4624" width="10.7109375" style="52" bestFit="1" customWidth="1"/>
    <col min="4625" max="4625" width="18" style="52" customWidth="1"/>
    <col min="4626" max="4626" width="13.140625" style="52" customWidth="1"/>
    <col min="4627" max="4627" width="16" style="52" customWidth="1"/>
    <col min="4628" max="4628" width="14.85546875" style="52" customWidth="1"/>
    <col min="4629" max="4629" width="15.28515625" style="52" customWidth="1"/>
    <col min="4630" max="4630" width="19.28515625" style="52" bestFit="1" customWidth="1"/>
    <col min="4631" max="4864" width="11.42578125" style="52"/>
    <col min="4865" max="4865" width="7.28515625" style="52" customWidth="1"/>
    <col min="4866" max="4867" width="11.28515625" style="52" bestFit="1" customWidth="1"/>
    <col min="4868" max="4868" width="9.7109375" style="52" customWidth="1"/>
    <col min="4869" max="4869" width="17.28515625" style="52" bestFit="1" customWidth="1"/>
    <col min="4870" max="4870" width="11" style="52" bestFit="1" customWidth="1"/>
    <col min="4871" max="4871" width="11.42578125" style="52"/>
    <col min="4872" max="4872" width="13.42578125" style="52" customWidth="1"/>
    <col min="4873" max="4873" width="15.28515625" style="52" customWidth="1"/>
    <col min="4874" max="4874" width="19.5703125" style="52" customWidth="1"/>
    <col min="4875" max="4875" width="18.28515625" style="52" bestFit="1" customWidth="1"/>
    <col min="4876" max="4876" width="10.85546875" style="52" bestFit="1" customWidth="1"/>
    <col min="4877" max="4877" width="10.7109375" style="52" bestFit="1" customWidth="1"/>
    <col min="4878" max="4878" width="13.85546875" style="52" customWidth="1"/>
    <col min="4879" max="4879" width="10.85546875" style="52" bestFit="1" customWidth="1"/>
    <col min="4880" max="4880" width="10.7109375" style="52" bestFit="1" customWidth="1"/>
    <col min="4881" max="4881" width="18" style="52" customWidth="1"/>
    <col min="4882" max="4882" width="13.140625" style="52" customWidth="1"/>
    <col min="4883" max="4883" width="16" style="52" customWidth="1"/>
    <col min="4884" max="4884" width="14.85546875" style="52" customWidth="1"/>
    <col min="4885" max="4885" width="15.28515625" style="52" customWidth="1"/>
    <col min="4886" max="4886" width="19.28515625" style="52" bestFit="1" customWidth="1"/>
    <col min="4887" max="5120" width="11.42578125" style="52"/>
    <col min="5121" max="5121" width="7.28515625" style="52" customWidth="1"/>
    <col min="5122" max="5123" width="11.28515625" style="52" bestFit="1" customWidth="1"/>
    <col min="5124" max="5124" width="9.7109375" style="52" customWidth="1"/>
    <col min="5125" max="5125" width="17.28515625" style="52" bestFit="1" customWidth="1"/>
    <col min="5126" max="5126" width="11" style="52" bestFit="1" customWidth="1"/>
    <col min="5127" max="5127" width="11.42578125" style="52"/>
    <col min="5128" max="5128" width="13.42578125" style="52" customWidth="1"/>
    <col min="5129" max="5129" width="15.28515625" style="52" customWidth="1"/>
    <col min="5130" max="5130" width="19.5703125" style="52" customWidth="1"/>
    <col min="5131" max="5131" width="18.28515625" style="52" bestFit="1" customWidth="1"/>
    <col min="5132" max="5132" width="10.85546875" style="52" bestFit="1" customWidth="1"/>
    <col min="5133" max="5133" width="10.7109375" style="52" bestFit="1" customWidth="1"/>
    <col min="5134" max="5134" width="13.85546875" style="52" customWidth="1"/>
    <col min="5135" max="5135" width="10.85546875" style="52" bestFit="1" customWidth="1"/>
    <col min="5136" max="5136" width="10.7109375" style="52" bestFit="1" customWidth="1"/>
    <col min="5137" max="5137" width="18" style="52" customWidth="1"/>
    <col min="5138" max="5138" width="13.140625" style="52" customWidth="1"/>
    <col min="5139" max="5139" width="16" style="52" customWidth="1"/>
    <col min="5140" max="5140" width="14.85546875" style="52" customWidth="1"/>
    <col min="5141" max="5141" width="15.28515625" style="52" customWidth="1"/>
    <col min="5142" max="5142" width="19.28515625" style="52" bestFit="1" customWidth="1"/>
    <col min="5143" max="5376" width="11.42578125" style="52"/>
    <col min="5377" max="5377" width="7.28515625" style="52" customWidth="1"/>
    <col min="5378" max="5379" width="11.28515625" style="52" bestFit="1" customWidth="1"/>
    <col min="5380" max="5380" width="9.7109375" style="52" customWidth="1"/>
    <col min="5381" max="5381" width="17.28515625" style="52" bestFit="1" customWidth="1"/>
    <col min="5382" max="5382" width="11" style="52" bestFit="1" customWidth="1"/>
    <col min="5383" max="5383" width="11.42578125" style="52"/>
    <col min="5384" max="5384" width="13.42578125" style="52" customWidth="1"/>
    <col min="5385" max="5385" width="15.28515625" style="52" customWidth="1"/>
    <col min="5386" max="5386" width="19.5703125" style="52" customWidth="1"/>
    <col min="5387" max="5387" width="18.28515625" style="52" bestFit="1" customWidth="1"/>
    <col min="5388" max="5388" width="10.85546875" style="52" bestFit="1" customWidth="1"/>
    <col min="5389" max="5389" width="10.7109375" style="52" bestFit="1" customWidth="1"/>
    <col min="5390" max="5390" width="13.85546875" style="52" customWidth="1"/>
    <col min="5391" max="5391" width="10.85546875" style="52" bestFit="1" customWidth="1"/>
    <col min="5392" max="5392" width="10.7109375" style="52" bestFit="1" customWidth="1"/>
    <col min="5393" max="5393" width="18" style="52" customWidth="1"/>
    <col min="5394" max="5394" width="13.140625" style="52" customWidth="1"/>
    <col min="5395" max="5395" width="16" style="52" customWidth="1"/>
    <col min="5396" max="5396" width="14.85546875" style="52" customWidth="1"/>
    <col min="5397" max="5397" width="15.28515625" style="52" customWidth="1"/>
    <col min="5398" max="5398" width="19.28515625" style="52" bestFit="1" customWidth="1"/>
    <col min="5399" max="5632" width="11.42578125" style="52"/>
    <col min="5633" max="5633" width="7.28515625" style="52" customWidth="1"/>
    <col min="5634" max="5635" width="11.28515625" style="52" bestFit="1" customWidth="1"/>
    <col min="5636" max="5636" width="9.7109375" style="52" customWidth="1"/>
    <col min="5637" max="5637" width="17.28515625" style="52" bestFit="1" customWidth="1"/>
    <col min="5638" max="5638" width="11" style="52" bestFit="1" customWidth="1"/>
    <col min="5639" max="5639" width="11.42578125" style="52"/>
    <col min="5640" max="5640" width="13.42578125" style="52" customWidth="1"/>
    <col min="5641" max="5641" width="15.28515625" style="52" customWidth="1"/>
    <col min="5642" max="5642" width="19.5703125" style="52" customWidth="1"/>
    <col min="5643" max="5643" width="18.28515625" style="52" bestFit="1" customWidth="1"/>
    <col min="5644" max="5644" width="10.85546875" style="52" bestFit="1" customWidth="1"/>
    <col min="5645" max="5645" width="10.7109375" style="52" bestFit="1" customWidth="1"/>
    <col min="5646" max="5646" width="13.85546875" style="52" customWidth="1"/>
    <col min="5647" max="5647" width="10.85546875" style="52" bestFit="1" customWidth="1"/>
    <col min="5648" max="5648" width="10.7109375" style="52" bestFit="1" customWidth="1"/>
    <col min="5649" max="5649" width="18" style="52" customWidth="1"/>
    <col min="5650" max="5650" width="13.140625" style="52" customWidth="1"/>
    <col min="5651" max="5651" width="16" style="52" customWidth="1"/>
    <col min="5652" max="5652" width="14.85546875" style="52" customWidth="1"/>
    <col min="5653" max="5653" width="15.28515625" style="52" customWidth="1"/>
    <col min="5654" max="5654" width="19.28515625" style="52" bestFit="1" customWidth="1"/>
    <col min="5655" max="5888" width="11.42578125" style="52"/>
    <col min="5889" max="5889" width="7.28515625" style="52" customWidth="1"/>
    <col min="5890" max="5891" width="11.28515625" style="52" bestFit="1" customWidth="1"/>
    <col min="5892" max="5892" width="9.7109375" style="52" customWidth="1"/>
    <col min="5893" max="5893" width="17.28515625" style="52" bestFit="1" customWidth="1"/>
    <col min="5894" max="5894" width="11" style="52" bestFit="1" customWidth="1"/>
    <col min="5895" max="5895" width="11.42578125" style="52"/>
    <col min="5896" max="5896" width="13.42578125" style="52" customWidth="1"/>
    <col min="5897" max="5897" width="15.28515625" style="52" customWidth="1"/>
    <col min="5898" max="5898" width="19.5703125" style="52" customWidth="1"/>
    <col min="5899" max="5899" width="18.28515625" style="52" bestFit="1" customWidth="1"/>
    <col min="5900" max="5900" width="10.85546875" style="52" bestFit="1" customWidth="1"/>
    <col min="5901" max="5901" width="10.7109375" style="52" bestFit="1" customWidth="1"/>
    <col min="5902" max="5902" width="13.85546875" style="52" customWidth="1"/>
    <col min="5903" max="5903" width="10.85546875" style="52" bestFit="1" customWidth="1"/>
    <col min="5904" max="5904" width="10.7109375" style="52" bestFit="1" customWidth="1"/>
    <col min="5905" max="5905" width="18" style="52" customWidth="1"/>
    <col min="5906" max="5906" width="13.140625" style="52" customWidth="1"/>
    <col min="5907" max="5907" width="16" style="52" customWidth="1"/>
    <col min="5908" max="5908" width="14.85546875" style="52" customWidth="1"/>
    <col min="5909" max="5909" width="15.28515625" style="52" customWidth="1"/>
    <col min="5910" max="5910" width="19.28515625" style="52" bestFit="1" customWidth="1"/>
    <col min="5911" max="6144" width="11.42578125" style="52"/>
    <col min="6145" max="6145" width="7.28515625" style="52" customWidth="1"/>
    <col min="6146" max="6147" width="11.28515625" style="52" bestFit="1" customWidth="1"/>
    <col min="6148" max="6148" width="9.7109375" style="52" customWidth="1"/>
    <col min="6149" max="6149" width="17.28515625" style="52" bestFit="1" customWidth="1"/>
    <col min="6150" max="6150" width="11" style="52" bestFit="1" customWidth="1"/>
    <col min="6151" max="6151" width="11.42578125" style="52"/>
    <col min="6152" max="6152" width="13.42578125" style="52" customWidth="1"/>
    <col min="6153" max="6153" width="15.28515625" style="52" customWidth="1"/>
    <col min="6154" max="6154" width="19.5703125" style="52" customWidth="1"/>
    <col min="6155" max="6155" width="18.28515625" style="52" bestFit="1" customWidth="1"/>
    <col min="6156" max="6156" width="10.85546875" style="52" bestFit="1" customWidth="1"/>
    <col min="6157" max="6157" width="10.7109375" style="52" bestFit="1" customWidth="1"/>
    <col min="6158" max="6158" width="13.85546875" style="52" customWidth="1"/>
    <col min="6159" max="6159" width="10.85546875" style="52" bestFit="1" customWidth="1"/>
    <col min="6160" max="6160" width="10.7109375" style="52" bestFit="1" customWidth="1"/>
    <col min="6161" max="6161" width="18" style="52" customWidth="1"/>
    <col min="6162" max="6162" width="13.140625" style="52" customWidth="1"/>
    <col min="6163" max="6163" width="16" style="52" customWidth="1"/>
    <col min="6164" max="6164" width="14.85546875" style="52" customWidth="1"/>
    <col min="6165" max="6165" width="15.28515625" style="52" customWidth="1"/>
    <col min="6166" max="6166" width="19.28515625" style="52" bestFit="1" customWidth="1"/>
    <col min="6167" max="6400" width="11.42578125" style="52"/>
    <col min="6401" max="6401" width="7.28515625" style="52" customWidth="1"/>
    <col min="6402" max="6403" width="11.28515625" style="52" bestFit="1" customWidth="1"/>
    <col min="6404" max="6404" width="9.7109375" style="52" customWidth="1"/>
    <col min="6405" max="6405" width="17.28515625" style="52" bestFit="1" customWidth="1"/>
    <col min="6406" max="6406" width="11" style="52" bestFit="1" customWidth="1"/>
    <col min="6407" max="6407" width="11.42578125" style="52"/>
    <col min="6408" max="6408" width="13.42578125" style="52" customWidth="1"/>
    <col min="6409" max="6409" width="15.28515625" style="52" customWidth="1"/>
    <col min="6410" max="6410" width="19.5703125" style="52" customWidth="1"/>
    <col min="6411" max="6411" width="18.28515625" style="52" bestFit="1" customWidth="1"/>
    <col min="6412" max="6412" width="10.85546875" style="52" bestFit="1" customWidth="1"/>
    <col min="6413" max="6413" width="10.7109375" style="52" bestFit="1" customWidth="1"/>
    <col min="6414" max="6414" width="13.85546875" style="52" customWidth="1"/>
    <col min="6415" max="6415" width="10.85546875" style="52" bestFit="1" customWidth="1"/>
    <col min="6416" max="6416" width="10.7109375" style="52" bestFit="1" customWidth="1"/>
    <col min="6417" max="6417" width="18" style="52" customWidth="1"/>
    <col min="6418" max="6418" width="13.140625" style="52" customWidth="1"/>
    <col min="6419" max="6419" width="16" style="52" customWidth="1"/>
    <col min="6420" max="6420" width="14.85546875" style="52" customWidth="1"/>
    <col min="6421" max="6421" width="15.28515625" style="52" customWidth="1"/>
    <col min="6422" max="6422" width="19.28515625" style="52" bestFit="1" customWidth="1"/>
    <col min="6423" max="6656" width="11.42578125" style="52"/>
    <col min="6657" max="6657" width="7.28515625" style="52" customWidth="1"/>
    <col min="6658" max="6659" width="11.28515625" style="52" bestFit="1" customWidth="1"/>
    <col min="6660" max="6660" width="9.7109375" style="52" customWidth="1"/>
    <col min="6661" max="6661" width="17.28515625" style="52" bestFit="1" customWidth="1"/>
    <col min="6662" max="6662" width="11" style="52" bestFit="1" customWidth="1"/>
    <col min="6663" max="6663" width="11.42578125" style="52"/>
    <col min="6664" max="6664" width="13.42578125" style="52" customWidth="1"/>
    <col min="6665" max="6665" width="15.28515625" style="52" customWidth="1"/>
    <col min="6666" max="6666" width="19.5703125" style="52" customWidth="1"/>
    <col min="6667" max="6667" width="18.28515625" style="52" bestFit="1" customWidth="1"/>
    <col min="6668" max="6668" width="10.85546875" style="52" bestFit="1" customWidth="1"/>
    <col min="6669" max="6669" width="10.7109375" style="52" bestFit="1" customWidth="1"/>
    <col min="6670" max="6670" width="13.85546875" style="52" customWidth="1"/>
    <col min="6671" max="6671" width="10.85546875" style="52" bestFit="1" customWidth="1"/>
    <col min="6672" max="6672" width="10.7109375" style="52" bestFit="1" customWidth="1"/>
    <col min="6673" max="6673" width="18" style="52" customWidth="1"/>
    <col min="6674" max="6674" width="13.140625" style="52" customWidth="1"/>
    <col min="6675" max="6675" width="16" style="52" customWidth="1"/>
    <col min="6676" max="6676" width="14.85546875" style="52" customWidth="1"/>
    <col min="6677" max="6677" width="15.28515625" style="52" customWidth="1"/>
    <col min="6678" max="6678" width="19.28515625" style="52" bestFit="1" customWidth="1"/>
    <col min="6679" max="6912" width="11.42578125" style="52"/>
    <col min="6913" max="6913" width="7.28515625" style="52" customWidth="1"/>
    <col min="6914" max="6915" width="11.28515625" style="52" bestFit="1" customWidth="1"/>
    <col min="6916" max="6916" width="9.7109375" style="52" customWidth="1"/>
    <col min="6917" max="6917" width="17.28515625" style="52" bestFit="1" customWidth="1"/>
    <col min="6918" max="6918" width="11" style="52" bestFit="1" customWidth="1"/>
    <col min="6919" max="6919" width="11.42578125" style="52"/>
    <col min="6920" max="6920" width="13.42578125" style="52" customWidth="1"/>
    <col min="6921" max="6921" width="15.28515625" style="52" customWidth="1"/>
    <col min="6922" max="6922" width="19.5703125" style="52" customWidth="1"/>
    <col min="6923" max="6923" width="18.28515625" style="52" bestFit="1" customWidth="1"/>
    <col min="6924" max="6924" width="10.85546875" style="52" bestFit="1" customWidth="1"/>
    <col min="6925" max="6925" width="10.7109375" style="52" bestFit="1" customWidth="1"/>
    <col min="6926" max="6926" width="13.85546875" style="52" customWidth="1"/>
    <col min="6927" max="6927" width="10.85546875" style="52" bestFit="1" customWidth="1"/>
    <col min="6928" max="6928" width="10.7109375" style="52" bestFit="1" customWidth="1"/>
    <col min="6929" max="6929" width="18" style="52" customWidth="1"/>
    <col min="6930" max="6930" width="13.140625" style="52" customWidth="1"/>
    <col min="6931" max="6931" width="16" style="52" customWidth="1"/>
    <col min="6932" max="6932" width="14.85546875" style="52" customWidth="1"/>
    <col min="6933" max="6933" width="15.28515625" style="52" customWidth="1"/>
    <col min="6934" max="6934" width="19.28515625" style="52" bestFit="1" customWidth="1"/>
    <col min="6935" max="7168" width="11.42578125" style="52"/>
    <col min="7169" max="7169" width="7.28515625" style="52" customWidth="1"/>
    <col min="7170" max="7171" width="11.28515625" style="52" bestFit="1" customWidth="1"/>
    <col min="7172" max="7172" width="9.7109375" style="52" customWidth="1"/>
    <col min="7173" max="7173" width="17.28515625" style="52" bestFit="1" customWidth="1"/>
    <col min="7174" max="7174" width="11" style="52" bestFit="1" customWidth="1"/>
    <col min="7175" max="7175" width="11.42578125" style="52"/>
    <col min="7176" max="7176" width="13.42578125" style="52" customWidth="1"/>
    <col min="7177" max="7177" width="15.28515625" style="52" customWidth="1"/>
    <col min="7178" max="7178" width="19.5703125" style="52" customWidth="1"/>
    <col min="7179" max="7179" width="18.28515625" style="52" bestFit="1" customWidth="1"/>
    <col min="7180" max="7180" width="10.85546875" style="52" bestFit="1" customWidth="1"/>
    <col min="7181" max="7181" width="10.7109375" style="52" bestFit="1" customWidth="1"/>
    <col min="7182" max="7182" width="13.85546875" style="52" customWidth="1"/>
    <col min="7183" max="7183" width="10.85546875" style="52" bestFit="1" customWidth="1"/>
    <col min="7184" max="7184" width="10.7109375" style="52" bestFit="1" customWidth="1"/>
    <col min="7185" max="7185" width="18" style="52" customWidth="1"/>
    <col min="7186" max="7186" width="13.140625" style="52" customWidth="1"/>
    <col min="7187" max="7187" width="16" style="52" customWidth="1"/>
    <col min="7188" max="7188" width="14.85546875" style="52" customWidth="1"/>
    <col min="7189" max="7189" width="15.28515625" style="52" customWidth="1"/>
    <col min="7190" max="7190" width="19.28515625" style="52" bestFit="1" customWidth="1"/>
    <col min="7191" max="7424" width="11.42578125" style="52"/>
    <col min="7425" max="7425" width="7.28515625" style="52" customWidth="1"/>
    <col min="7426" max="7427" width="11.28515625" style="52" bestFit="1" customWidth="1"/>
    <col min="7428" max="7428" width="9.7109375" style="52" customWidth="1"/>
    <col min="7429" max="7429" width="17.28515625" style="52" bestFit="1" customWidth="1"/>
    <col min="7430" max="7430" width="11" style="52" bestFit="1" customWidth="1"/>
    <col min="7431" max="7431" width="11.42578125" style="52"/>
    <col min="7432" max="7432" width="13.42578125" style="52" customWidth="1"/>
    <col min="7433" max="7433" width="15.28515625" style="52" customWidth="1"/>
    <col min="7434" max="7434" width="19.5703125" style="52" customWidth="1"/>
    <col min="7435" max="7435" width="18.28515625" style="52" bestFit="1" customWidth="1"/>
    <col min="7436" max="7436" width="10.85546875" style="52" bestFit="1" customWidth="1"/>
    <col min="7437" max="7437" width="10.7109375" style="52" bestFit="1" customWidth="1"/>
    <col min="7438" max="7438" width="13.85546875" style="52" customWidth="1"/>
    <col min="7439" max="7439" width="10.85546875" style="52" bestFit="1" customWidth="1"/>
    <col min="7440" max="7440" width="10.7109375" style="52" bestFit="1" customWidth="1"/>
    <col min="7441" max="7441" width="18" style="52" customWidth="1"/>
    <col min="7442" max="7442" width="13.140625" style="52" customWidth="1"/>
    <col min="7443" max="7443" width="16" style="52" customWidth="1"/>
    <col min="7444" max="7444" width="14.85546875" style="52" customWidth="1"/>
    <col min="7445" max="7445" width="15.28515625" style="52" customWidth="1"/>
    <col min="7446" max="7446" width="19.28515625" style="52" bestFit="1" customWidth="1"/>
    <col min="7447" max="7680" width="11.42578125" style="52"/>
    <col min="7681" max="7681" width="7.28515625" style="52" customWidth="1"/>
    <col min="7682" max="7683" width="11.28515625" style="52" bestFit="1" customWidth="1"/>
    <col min="7684" max="7684" width="9.7109375" style="52" customWidth="1"/>
    <col min="7685" max="7685" width="17.28515625" style="52" bestFit="1" customWidth="1"/>
    <col min="7686" max="7686" width="11" style="52" bestFit="1" customWidth="1"/>
    <col min="7687" max="7687" width="11.42578125" style="52"/>
    <col min="7688" max="7688" width="13.42578125" style="52" customWidth="1"/>
    <col min="7689" max="7689" width="15.28515625" style="52" customWidth="1"/>
    <col min="7690" max="7690" width="19.5703125" style="52" customWidth="1"/>
    <col min="7691" max="7691" width="18.28515625" style="52" bestFit="1" customWidth="1"/>
    <col min="7692" max="7692" width="10.85546875" style="52" bestFit="1" customWidth="1"/>
    <col min="7693" max="7693" width="10.7109375" style="52" bestFit="1" customWidth="1"/>
    <col min="7694" max="7694" width="13.85546875" style="52" customWidth="1"/>
    <col min="7695" max="7695" width="10.85546875" style="52" bestFit="1" customWidth="1"/>
    <col min="7696" max="7696" width="10.7109375" style="52" bestFit="1" customWidth="1"/>
    <col min="7697" max="7697" width="18" style="52" customWidth="1"/>
    <col min="7698" max="7698" width="13.140625" style="52" customWidth="1"/>
    <col min="7699" max="7699" width="16" style="52" customWidth="1"/>
    <col min="7700" max="7700" width="14.85546875" style="52" customWidth="1"/>
    <col min="7701" max="7701" width="15.28515625" style="52" customWidth="1"/>
    <col min="7702" max="7702" width="19.28515625" style="52" bestFit="1" customWidth="1"/>
    <col min="7703" max="7936" width="11.42578125" style="52"/>
    <col min="7937" max="7937" width="7.28515625" style="52" customWidth="1"/>
    <col min="7938" max="7939" width="11.28515625" style="52" bestFit="1" customWidth="1"/>
    <col min="7940" max="7940" width="9.7109375" style="52" customWidth="1"/>
    <col min="7941" max="7941" width="17.28515625" style="52" bestFit="1" customWidth="1"/>
    <col min="7942" max="7942" width="11" style="52" bestFit="1" customWidth="1"/>
    <col min="7943" max="7943" width="11.42578125" style="52"/>
    <col min="7944" max="7944" width="13.42578125" style="52" customWidth="1"/>
    <col min="7945" max="7945" width="15.28515625" style="52" customWidth="1"/>
    <col min="7946" max="7946" width="19.5703125" style="52" customWidth="1"/>
    <col min="7947" max="7947" width="18.28515625" style="52" bestFit="1" customWidth="1"/>
    <col min="7948" max="7948" width="10.85546875" style="52" bestFit="1" customWidth="1"/>
    <col min="7949" max="7949" width="10.7109375" style="52" bestFit="1" customWidth="1"/>
    <col min="7950" max="7950" width="13.85546875" style="52" customWidth="1"/>
    <col min="7951" max="7951" width="10.85546875" style="52" bestFit="1" customWidth="1"/>
    <col min="7952" max="7952" width="10.7109375" style="52" bestFit="1" customWidth="1"/>
    <col min="7953" max="7953" width="18" style="52" customWidth="1"/>
    <col min="7954" max="7954" width="13.140625" style="52" customWidth="1"/>
    <col min="7955" max="7955" width="16" style="52" customWidth="1"/>
    <col min="7956" max="7956" width="14.85546875" style="52" customWidth="1"/>
    <col min="7957" max="7957" width="15.28515625" style="52" customWidth="1"/>
    <col min="7958" max="7958" width="19.28515625" style="52" bestFit="1" customWidth="1"/>
    <col min="7959" max="8192" width="11.42578125" style="52"/>
    <col min="8193" max="8193" width="7.28515625" style="52" customWidth="1"/>
    <col min="8194" max="8195" width="11.28515625" style="52" bestFit="1" customWidth="1"/>
    <col min="8196" max="8196" width="9.7109375" style="52" customWidth="1"/>
    <col min="8197" max="8197" width="17.28515625" style="52" bestFit="1" customWidth="1"/>
    <col min="8198" max="8198" width="11" style="52" bestFit="1" customWidth="1"/>
    <col min="8199" max="8199" width="11.42578125" style="52"/>
    <col min="8200" max="8200" width="13.42578125" style="52" customWidth="1"/>
    <col min="8201" max="8201" width="15.28515625" style="52" customWidth="1"/>
    <col min="8202" max="8202" width="19.5703125" style="52" customWidth="1"/>
    <col min="8203" max="8203" width="18.28515625" style="52" bestFit="1" customWidth="1"/>
    <col min="8204" max="8204" width="10.85546875" style="52" bestFit="1" customWidth="1"/>
    <col min="8205" max="8205" width="10.7109375" style="52" bestFit="1" customWidth="1"/>
    <col min="8206" max="8206" width="13.85546875" style="52" customWidth="1"/>
    <col min="8207" max="8207" width="10.85546875" style="52" bestFit="1" customWidth="1"/>
    <col min="8208" max="8208" width="10.7109375" style="52" bestFit="1" customWidth="1"/>
    <col min="8209" max="8209" width="18" style="52" customWidth="1"/>
    <col min="8210" max="8210" width="13.140625" style="52" customWidth="1"/>
    <col min="8211" max="8211" width="16" style="52" customWidth="1"/>
    <col min="8212" max="8212" width="14.85546875" style="52" customWidth="1"/>
    <col min="8213" max="8213" width="15.28515625" style="52" customWidth="1"/>
    <col min="8214" max="8214" width="19.28515625" style="52" bestFit="1" customWidth="1"/>
    <col min="8215" max="8448" width="11.42578125" style="52"/>
    <col min="8449" max="8449" width="7.28515625" style="52" customWidth="1"/>
    <col min="8450" max="8451" width="11.28515625" style="52" bestFit="1" customWidth="1"/>
    <col min="8452" max="8452" width="9.7109375" style="52" customWidth="1"/>
    <col min="8453" max="8453" width="17.28515625" style="52" bestFit="1" customWidth="1"/>
    <col min="8454" max="8454" width="11" style="52" bestFit="1" customWidth="1"/>
    <col min="8455" max="8455" width="11.42578125" style="52"/>
    <col min="8456" max="8456" width="13.42578125" style="52" customWidth="1"/>
    <col min="8457" max="8457" width="15.28515625" style="52" customWidth="1"/>
    <col min="8458" max="8458" width="19.5703125" style="52" customWidth="1"/>
    <col min="8459" max="8459" width="18.28515625" style="52" bestFit="1" customWidth="1"/>
    <col min="8460" max="8460" width="10.85546875" style="52" bestFit="1" customWidth="1"/>
    <col min="8461" max="8461" width="10.7109375" style="52" bestFit="1" customWidth="1"/>
    <col min="8462" max="8462" width="13.85546875" style="52" customWidth="1"/>
    <col min="8463" max="8463" width="10.85546875" style="52" bestFit="1" customWidth="1"/>
    <col min="8464" max="8464" width="10.7109375" style="52" bestFit="1" customWidth="1"/>
    <col min="8465" max="8465" width="18" style="52" customWidth="1"/>
    <col min="8466" max="8466" width="13.140625" style="52" customWidth="1"/>
    <col min="8467" max="8467" width="16" style="52" customWidth="1"/>
    <col min="8468" max="8468" width="14.85546875" style="52" customWidth="1"/>
    <col min="8469" max="8469" width="15.28515625" style="52" customWidth="1"/>
    <col min="8470" max="8470" width="19.28515625" style="52" bestFit="1" customWidth="1"/>
    <col min="8471" max="8704" width="11.42578125" style="52"/>
    <col min="8705" max="8705" width="7.28515625" style="52" customWidth="1"/>
    <col min="8706" max="8707" width="11.28515625" style="52" bestFit="1" customWidth="1"/>
    <col min="8708" max="8708" width="9.7109375" style="52" customWidth="1"/>
    <col min="8709" max="8709" width="17.28515625" style="52" bestFit="1" customWidth="1"/>
    <col min="8710" max="8710" width="11" style="52" bestFit="1" customWidth="1"/>
    <col min="8711" max="8711" width="11.42578125" style="52"/>
    <col min="8712" max="8712" width="13.42578125" style="52" customWidth="1"/>
    <col min="8713" max="8713" width="15.28515625" style="52" customWidth="1"/>
    <col min="8714" max="8714" width="19.5703125" style="52" customWidth="1"/>
    <col min="8715" max="8715" width="18.28515625" style="52" bestFit="1" customWidth="1"/>
    <col min="8716" max="8716" width="10.85546875" style="52" bestFit="1" customWidth="1"/>
    <col min="8717" max="8717" width="10.7109375" style="52" bestFit="1" customWidth="1"/>
    <col min="8718" max="8718" width="13.85546875" style="52" customWidth="1"/>
    <col min="8719" max="8719" width="10.85546875" style="52" bestFit="1" customWidth="1"/>
    <col min="8720" max="8720" width="10.7109375" style="52" bestFit="1" customWidth="1"/>
    <col min="8721" max="8721" width="18" style="52" customWidth="1"/>
    <col min="8722" max="8722" width="13.140625" style="52" customWidth="1"/>
    <col min="8723" max="8723" width="16" style="52" customWidth="1"/>
    <col min="8724" max="8724" width="14.85546875" style="52" customWidth="1"/>
    <col min="8725" max="8725" width="15.28515625" style="52" customWidth="1"/>
    <col min="8726" max="8726" width="19.28515625" style="52" bestFit="1" customWidth="1"/>
    <col min="8727" max="8960" width="11.42578125" style="52"/>
    <col min="8961" max="8961" width="7.28515625" style="52" customWidth="1"/>
    <col min="8962" max="8963" width="11.28515625" style="52" bestFit="1" customWidth="1"/>
    <col min="8964" max="8964" width="9.7109375" style="52" customWidth="1"/>
    <col min="8965" max="8965" width="17.28515625" style="52" bestFit="1" customWidth="1"/>
    <col min="8966" max="8966" width="11" style="52" bestFit="1" customWidth="1"/>
    <col min="8967" max="8967" width="11.42578125" style="52"/>
    <col min="8968" max="8968" width="13.42578125" style="52" customWidth="1"/>
    <col min="8969" max="8969" width="15.28515625" style="52" customWidth="1"/>
    <col min="8970" max="8970" width="19.5703125" style="52" customWidth="1"/>
    <col min="8971" max="8971" width="18.28515625" style="52" bestFit="1" customWidth="1"/>
    <col min="8972" max="8972" width="10.85546875" style="52" bestFit="1" customWidth="1"/>
    <col min="8973" max="8973" width="10.7109375" style="52" bestFit="1" customWidth="1"/>
    <col min="8974" max="8974" width="13.85546875" style="52" customWidth="1"/>
    <col min="8975" max="8975" width="10.85546875" style="52" bestFit="1" customWidth="1"/>
    <col min="8976" max="8976" width="10.7109375" style="52" bestFit="1" customWidth="1"/>
    <col min="8977" max="8977" width="18" style="52" customWidth="1"/>
    <col min="8978" max="8978" width="13.140625" style="52" customWidth="1"/>
    <col min="8979" max="8979" width="16" style="52" customWidth="1"/>
    <col min="8980" max="8980" width="14.85546875" style="52" customWidth="1"/>
    <col min="8981" max="8981" width="15.28515625" style="52" customWidth="1"/>
    <col min="8982" max="8982" width="19.28515625" style="52" bestFit="1" customWidth="1"/>
    <col min="8983" max="9216" width="11.42578125" style="52"/>
    <col min="9217" max="9217" width="7.28515625" style="52" customWidth="1"/>
    <col min="9218" max="9219" width="11.28515625" style="52" bestFit="1" customWidth="1"/>
    <col min="9220" max="9220" width="9.7109375" style="52" customWidth="1"/>
    <col min="9221" max="9221" width="17.28515625" style="52" bestFit="1" customWidth="1"/>
    <col min="9222" max="9222" width="11" style="52" bestFit="1" customWidth="1"/>
    <col min="9223" max="9223" width="11.42578125" style="52"/>
    <col min="9224" max="9224" width="13.42578125" style="52" customWidth="1"/>
    <col min="9225" max="9225" width="15.28515625" style="52" customWidth="1"/>
    <col min="9226" max="9226" width="19.5703125" style="52" customWidth="1"/>
    <col min="9227" max="9227" width="18.28515625" style="52" bestFit="1" customWidth="1"/>
    <col min="9228" max="9228" width="10.85546875" style="52" bestFit="1" customWidth="1"/>
    <col min="9229" max="9229" width="10.7109375" style="52" bestFit="1" customWidth="1"/>
    <col min="9230" max="9230" width="13.85546875" style="52" customWidth="1"/>
    <col min="9231" max="9231" width="10.85546875" style="52" bestFit="1" customWidth="1"/>
    <col min="9232" max="9232" width="10.7109375" style="52" bestFit="1" customWidth="1"/>
    <col min="9233" max="9233" width="18" style="52" customWidth="1"/>
    <col min="9234" max="9234" width="13.140625" style="52" customWidth="1"/>
    <col min="9235" max="9235" width="16" style="52" customWidth="1"/>
    <col min="9236" max="9236" width="14.85546875" style="52" customWidth="1"/>
    <col min="9237" max="9237" width="15.28515625" style="52" customWidth="1"/>
    <col min="9238" max="9238" width="19.28515625" style="52" bestFit="1" customWidth="1"/>
    <col min="9239" max="9472" width="11.42578125" style="52"/>
    <col min="9473" max="9473" width="7.28515625" style="52" customWidth="1"/>
    <col min="9474" max="9475" width="11.28515625" style="52" bestFit="1" customWidth="1"/>
    <col min="9476" max="9476" width="9.7109375" style="52" customWidth="1"/>
    <col min="9477" max="9477" width="17.28515625" style="52" bestFit="1" customWidth="1"/>
    <col min="9478" max="9478" width="11" style="52" bestFit="1" customWidth="1"/>
    <col min="9479" max="9479" width="11.42578125" style="52"/>
    <col min="9480" max="9480" width="13.42578125" style="52" customWidth="1"/>
    <col min="9481" max="9481" width="15.28515625" style="52" customWidth="1"/>
    <col min="9482" max="9482" width="19.5703125" style="52" customWidth="1"/>
    <col min="9483" max="9483" width="18.28515625" style="52" bestFit="1" customWidth="1"/>
    <col min="9484" max="9484" width="10.85546875" style="52" bestFit="1" customWidth="1"/>
    <col min="9485" max="9485" width="10.7109375" style="52" bestFit="1" customWidth="1"/>
    <col min="9486" max="9486" width="13.85546875" style="52" customWidth="1"/>
    <col min="9487" max="9487" width="10.85546875" style="52" bestFit="1" customWidth="1"/>
    <col min="9488" max="9488" width="10.7109375" style="52" bestFit="1" customWidth="1"/>
    <col min="9489" max="9489" width="18" style="52" customWidth="1"/>
    <col min="9490" max="9490" width="13.140625" style="52" customWidth="1"/>
    <col min="9491" max="9491" width="16" style="52" customWidth="1"/>
    <col min="9492" max="9492" width="14.85546875" style="52" customWidth="1"/>
    <col min="9493" max="9493" width="15.28515625" style="52" customWidth="1"/>
    <col min="9494" max="9494" width="19.28515625" style="52" bestFit="1" customWidth="1"/>
    <col min="9495" max="9728" width="11.42578125" style="52"/>
    <col min="9729" max="9729" width="7.28515625" style="52" customWidth="1"/>
    <col min="9730" max="9731" width="11.28515625" style="52" bestFit="1" customWidth="1"/>
    <col min="9732" max="9732" width="9.7109375" style="52" customWidth="1"/>
    <col min="9733" max="9733" width="17.28515625" style="52" bestFit="1" customWidth="1"/>
    <col min="9734" max="9734" width="11" style="52" bestFit="1" customWidth="1"/>
    <col min="9735" max="9735" width="11.42578125" style="52"/>
    <col min="9736" max="9736" width="13.42578125" style="52" customWidth="1"/>
    <col min="9737" max="9737" width="15.28515625" style="52" customWidth="1"/>
    <col min="9738" max="9738" width="19.5703125" style="52" customWidth="1"/>
    <col min="9739" max="9739" width="18.28515625" style="52" bestFit="1" customWidth="1"/>
    <col min="9740" max="9740" width="10.85546875" style="52" bestFit="1" customWidth="1"/>
    <col min="9741" max="9741" width="10.7109375" style="52" bestFit="1" customWidth="1"/>
    <col min="9742" max="9742" width="13.85546875" style="52" customWidth="1"/>
    <col min="9743" max="9743" width="10.85546875" style="52" bestFit="1" customWidth="1"/>
    <col min="9744" max="9744" width="10.7109375" style="52" bestFit="1" customWidth="1"/>
    <col min="9745" max="9745" width="18" style="52" customWidth="1"/>
    <col min="9746" max="9746" width="13.140625" style="52" customWidth="1"/>
    <col min="9747" max="9747" width="16" style="52" customWidth="1"/>
    <col min="9748" max="9748" width="14.85546875" style="52" customWidth="1"/>
    <col min="9749" max="9749" width="15.28515625" style="52" customWidth="1"/>
    <col min="9750" max="9750" width="19.28515625" style="52" bestFit="1" customWidth="1"/>
    <col min="9751" max="9984" width="11.42578125" style="52"/>
    <col min="9985" max="9985" width="7.28515625" style="52" customWidth="1"/>
    <col min="9986" max="9987" width="11.28515625" style="52" bestFit="1" customWidth="1"/>
    <col min="9988" max="9988" width="9.7109375" style="52" customWidth="1"/>
    <col min="9989" max="9989" width="17.28515625" style="52" bestFit="1" customWidth="1"/>
    <col min="9990" max="9990" width="11" style="52" bestFit="1" customWidth="1"/>
    <col min="9991" max="9991" width="11.42578125" style="52"/>
    <col min="9992" max="9992" width="13.42578125" style="52" customWidth="1"/>
    <col min="9993" max="9993" width="15.28515625" style="52" customWidth="1"/>
    <col min="9994" max="9994" width="19.5703125" style="52" customWidth="1"/>
    <col min="9995" max="9995" width="18.28515625" style="52" bestFit="1" customWidth="1"/>
    <col min="9996" max="9996" width="10.85546875" style="52" bestFit="1" customWidth="1"/>
    <col min="9997" max="9997" width="10.7109375" style="52" bestFit="1" customWidth="1"/>
    <col min="9998" max="9998" width="13.85546875" style="52" customWidth="1"/>
    <col min="9999" max="9999" width="10.85546875" style="52" bestFit="1" customWidth="1"/>
    <col min="10000" max="10000" width="10.7109375" style="52" bestFit="1" customWidth="1"/>
    <col min="10001" max="10001" width="18" style="52" customWidth="1"/>
    <col min="10002" max="10002" width="13.140625" style="52" customWidth="1"/>
    <col min="10003" max="10003" width="16" style="52" customWidth="1"/>
    <col min="10004" max="10004" width="14.85546875" style="52" customWidth="1"/>
    <col min="10005" max="10005" width="15.28515625" style="52" customWidth="1"/>
    <col min="10006" max="10006" width="19.28515625" style="52" bestFit="1" customWidth="1"/>
    <col min="10007" max="10240" width="11.42578125" style="52"/>
    <col min="10241" max="10241" width="7.28515625" style="52" customWidth="1"/>
    <col min="10242" max="10243" width="11.28515625" style="52" bestFit="1" customWidth="1"/>
    <col min="10244" max="10244" width="9.7109375" style="52" customWidth="1"/>
    <col min="10245" max="10245" width="17.28515625" style="52" bestFit="1" customWidth="1"/>
    <col min="10246" max="10246" width="11" style="52" bestFit="1" customWidth="1"/>
    <col min="10247" max="10247" width="11.42578125" style="52"/>
    <col min="10248" max="10248" width="13.42578125" style="52" customWidth="1"/>
    <col min="10249" max="10249" width="15.28515625" style="52" customWidth="1"/>
    <col min="10250" max="10250" width="19.5703125" style="52" customWidth="1"/>
    <col min="10251" max="10251" width="18.28515625" style="52" bestFit="1" customWidth="1"/>
    <col min="10252" max="10252" width="10.85546875" style="52" bestFit="1" customWidth="1"/>
    <col min="10253" max="10253" width="10.7109375" style="52" bestFit="1" customWidth="1"/>
    <col min="10254" max="10254" width="13.85546875" style="52" customWidth="1"/>
    <col min="10255" max="10255" width="10.85546875" style="52" bestFit="1" customWidth="1"/>
    <col min="10256" max="10256" width="10.7109375" style="52" bestFit="1" customWidth="1"/>
    <col min="10257" max="10257" width="18" style="52" customWidth="1"/>
    <col min="10258" max="10258" width="13.140625" style="52" customWidth="1"/>
    <col min="10259" max="10259" width="16" style="52" customWidth="1"/>
    <col min="10260" max="10260" width="14.85546875" style="52" customWidth="1"/>
    <col min="10261" max="10261" width="15.28515625" style="52" customWidth="1"/>
    <col min="10262" max="10262" width="19.28515625" style="52" bestFit="1" customWidth="1"/>
    <col min="10263" max="10496" width="11.42578125" style="52"/>
    <col min="10497" max="10497" width="7.28515625" style="52" customWidth="1"/>
    <col min="10498" max="10499" width="11.28515625" style="52" bestFit="1" customWidth="1"/>
    <col min="10500" max="10500" width="9.7109375" style="52" customWidth="1"/>
    <col min="10501" max="10501" width="17.28515625" style="52" bestFit="1" customWidth="1"/>
    <col min="10502" max="10502" width="11" style="52" bestFit="1" customWidth="1"/>
    <col min="10503" max="10503" width="11.42578125" style="52"/>
    <col min="10504" max="10504" width="13.42578125" style="52" customWidth="1"/>
    <col min="10505" max="10505" width="15.28515625" style="52" customWidth="1"/>
    <col min="10506" max="10506" width="19.5703125" style="52" customWidth="1"/>
    <col min="10507" max="10507" width="18.28515625" style="52" bestFit="1" customWidth="1"/>
    <col min="10508" max="10508" width="10.85546875" style="52" bestFit="1" customWidth="1"/>
    <col min="10509" max="10509" width="10.7109375" style="52" bestFit="1" customWidth="1"/>
    <col min="10510" max="10510" width="13.85546875" style="52" customWidth="1"/>
    <col min="10511" max="10511" width="10.85546875" style="52" bestFit="1" customWidth="1"/>
    <col min="10512" max="10512" width="10.7109375" style="52" bestFit="1" customWidth="1"/>
    <col min="10513" max="10513" width="18" style="52" customWidth="1"/>
    <col min="10514" max="10514" width="13.140625" style="52" customWidth="1"/>
    <col min="10515" max="10515" width="16" style="52" customWidth="1"/>
    <col min="10516" max="10516" width="14.85546875" style="52" customWidth="1"/>
    <col min="10517" max="10517" width="15.28515625" style="52" customWidth="1"/>
    <col min="10518" max="10518" width="19.28515625" style="52" bestFit="1" customWidth="1"/>
    <col min="10519" max="10752" width="11.42578125" style="52"/>
    <col min="10753" max="10753" width="7.28515625" style="52" customWidth="1"/>
    <col min="10754" max="10755" width="11.28515625" style="52" bestFit="1" customWidth="1"/>
    <col min="10756" max="10756" width="9.7109375" style="52" customWidth="1"/>
    <col min="10757" max="10757" width="17.28515625" style="52" bestFit="1" customWidth="1"/>
    <col min="10758" max="10758" width="11" style="52" bestFit="1" customWidth="1"/>
    <col min="10759" max="10759" width="11.42578125" style="52"/>
    <col min="10760" max="10760" width="13.42578125" style="52" customWidth="1"/>
    <col min="10761" max="10761" width="15.28515625" style="52" customWidth="1"/>
    <col min="10762" max="10762" width="19.5703125" style="52" customWidth="1"/>
    <col min="10763" max="10763" width="18.28515625" style="52" bestFit="1" customWidth="1"/>
    <col min="10764" max="10764" width="10.85546875" style="52" bestFit="1" customWidth="1"/>
    <col min="10765" max="10765" width="10.7109375" style="52" bestFit="1" customWidth="1"/>
    <col min="10766" max="10766" width="13.85546875" style="52" customWidth="1"/>
    <col min="10767" max="10767" width="10.85546875" style="52" bestFit="1" customWidth="1"/>
    <col min="10768" max="10768" width="10.7109375" style="52" bestFit="1" customWidth="1"/>
    <col min="10769" max="10769" width="18" style="52" customWidth="1"/>
    <col min="10770" max="10770" width="13.140625" style="52" customWidth="1"/>
    <col min="10771" max="10771" width="16" style="52" customWidth="1"/>
    <col min="10772" max="10772" width="14.85546875" style="52" customWidth="1"/>
    <col min="10773" max="10773" width="15.28515625" style="52" customWidth="1"/>
    <col min="10774" max="10774" width="19.28515625" style="52" bestFit="1" customWidth="1"/>
    <col min="10775" max="11008" width="11.42578125" style="52"/>
    <col min="11009" max="11009" width="7.28515625" style="52" customWidth="1"/>
    <col min="11010" max="11011" width="11.28515625" style="52" bestFit="1" customWidth="1"/>
    <col min="11012" max="11012" width="9.7109375" style="52" customWidth="1"/>
    <col min="11013" max="11013" width="17.28515625" style="52" bestFit="1" customWidth="1"/>
    <col min="11014" max="11014" width="11" style="52" bestFit="1" customWidth="1"/>
    <col min="11015" max="11015" width="11.42578125" style="52"/>
    <col min="11016" max="11016" width="13.42578125" style="52" customWidth="1"/>
    <col min="11017" max="11017" width="15.28515625" style="52" customWidth="1"/>
    <col min="11018" max="11018" width="19.5703125" style="52" customWidth="1"/>
    <col min="11019" max="11019" width="18.28515625" style="52" bestFit="1" customWidth="1"/>
    <col min="11020" max="11020" width="10.85546875" style="52" bestFit="1" customWidth="1"/>
    <col min="11021" max="11021" width="10.7109375" style="52" bestFit="1" customWidth="1"/>
    <col min="11022" max="11022" width="13.85546875" style="52" customWidth="1"/>
    <col min="11023" max="11023" width="10.85546875" style="52" bestFit="1" customWidth="1"/>
    <col min="11024" max="11024" width="10.7109375" style="52" bestFit="1" customWidth="1"/>
    <col min="11025" max="11025" width="18" style="52" customWidth="1"/>
    <col min="11026" max="11026" width="13.140625" style="52" customWidth="1"/>
    <col min="11027" max="11027" width="16" style="52" customWidth="1"/>
    <col min="11028" max="11028" width="14.85546875" style="52" customWidth="1"/>
    <col min="11029" max="11029" width="15.28515625" style="52" customWidth="1"/>
    <col min="11030" max="11030" width="19.28515625" style="52" bestFit="1" customWidth="1"/>
    <col min="11031" max="11264" width="11.42578125" style="52"/>
    <col min="11265" max="11265" width="7.28515625" style="52" customWidth="1"/>
    <col min="11266" max="11267" width="11.28515625" style="52" bestFit="1" customWidth="1"/>
    <col min="11268" max="11268" width="9.7109375" style="52" customWidth="1"/>
    <col min="11269" max="11269" width="17.28515625" style="52" bestFit="1" customWidth="1"/>
    <col min="11270" max="11270" width="11" style="52" bestFit="1" customWidth="1"/>
    <col min="11271" max="11271" width="11.42578125" style="52"/>
    <col min="11272" max="11272" width="13.42578125" style="52" customWidth="1"/>
    <col min="11273" max="11273" width="15.28515625" style="52" customWidth="1"/>
    <col min="11274" max="11274" width="19.5703125" style="52" customWidth="1"/>
    <col min="11275" max="11275" width="18.28515625" style="52" bestFit="1" customWidth="1"/>
    <col min="11276" max="11276" width="10.85546875" style="52" bestFit="1" customWidth="1"/>
    <col min="11277" max="11277" width="10.7109375" style="52" bestFit="1" customWidth="1"/>
    <col min="11278" max="11278" width="13.85546875" style="52" customWidth="1"/>
    <col min="11279" max="11279" width="10.85546875" style="52" bestFit="1" customWidth="1"/>
    <col min="11280" max="11280" width="10.7109375" style="52" bestFit="1" customWidth="1"/>
    <col min="11281" max="11281" width="18" style="52" customWidth="1"/>
    <col min="11282" max="11282" width="13.140625" style="52" customWidth="1"/>
    <col min="11283" max="11283" width="16" style="52" customWidth="1"/>
    <col min="11284" max="11284" width="14.85546875" style="52" customWidth="1"/>
    <col min="11285" max="11285" width="15.28515625" style="52" customWidth="1"/>
    <col min="11286" max="11286" width="19.28515625" style="52" bestFit="1" customWidth="1"/>
    <col min="11287" max="11520" width="11.42578125" style="52"/>
    <col min="11521" max="11521" width="7.28515625" style="52" customWidth="1"/>
    <col min="11522" max="11523" width="11.28515625" style="52" bestFit="1" customWidth="1"/>
    <col min="11524" max="11524" width="9.7109375" style="52" customWidth="1"/>
    <col min="11525" max="11525" width="17.28515625" style="52" bestFit="1" customWidth="1"/>
    <col min="11526" max="11526" width="11" style="52" bestFit="1" customWidth="1"/>
    <col min="11527" max="11527" width="11.42578125" style="52"/>
    <col min="11528" max="11528" width="13.42578125" style="52" customWidth="1"/>
    <col min="11529" max="11529" width="15.28515625" style="52" customWidth="1"/>
    <col min="11530" max="11530" width="19.5703125" style="52" customWidth="1"/>
    <col min="11531" max="11531" width="18.28515625" style="52" bestFit="1" customWidth="1"/>
    <col min="11532" max="11532" width="10.85546875" style="52" bestFit="1" customWidth="1"/>
    <col min="11533" max="11533" width="10.7109375" style="52" bestFit="1" customWidth="1"/>
    <col min="11534" max="11534" width="13.85546875" style="52" customWidth="1"/>
    <col min="11535" max="11535" width="10.85546875" style="52" bestFit="1" customWidth="1"/>
    <col min="11536" max="11536" width="10.7109375" style="52" bestFit="1" customWidth="1"/>
    <col min="11537" max="11537" width="18" style="52" customWidth="1"/>
    <col min="11538" max="11538" width="13.140625" style="52" customWidth="1"/>
    <col min="11539" max="11539" width="16" style="52" customWidth="1"/>
    <col min="11540" max="11540" width="14.85546875" style="52" customWidth="1"/>
    <col min="11541" max="11541" width="15.28515625" style="52" customWidth="1"/>
    <col min="11542" max="11542" width="19.28515625" style="52" bestFit="1" customWidth="1"/>
    <col min="11543" max="11776" width="11.42578125" style="52"/>
    <col min="11777" max="11777" width="7.28515625" style="52" customWidth="1"/>
    <col min="11778" max="11779" width="11.28515625" style="52" bestFit="1" customWidth="1"/>
    <col min="11780" max="11780" width="9.7109375" style="52" customWidth="1"/>
    <col min="11781" max="11781" width="17.28515625" style="52" bestFit="1" customWidth="1"/>
    <col min="11782" max="11782" width="11" style="52" bestFit="1" customWidth="1"/>
    <col min="11783" max="11783" width="11.42578125" style="52"/>
    <col min="11784" max="11784" width="13.42578125" style="52" customWidth="1"/>
    <col min="11785" max="11785" width="15.28515625" style="52" customWidth="1"/>
    <col min="11786" max="11786" width="19.5703125" style="52" customWidth="1"/>
    <col min="11787" max="11787" width="18.28515625" style="52" bestFit="1" customWidth="1"/>
    <col min="11788" max="11788" width="10.85546875" style="52" bestFit="1" customWidth="1"/>
    <col min="11789" max="11789" width="10.7109375" style="52" bestFit="1" customWidth="1"/>
    <col min="11790" max="11790" width="13.85546875" style="52" customWidth="1"/>
    <col min="11791" max="11791" width="10.85546875" style="52" bestFit="1" customWidth="1"/>
    <col min="11792" max="11792" width="10.7109375" style="52" bestFit="1" customWidth="1"/>
    <col min="11793" max="11793" width="18" style="52" customWidth="1"/>
    <col min="11794" max="11794" width="13.140625" style="52" customWidth="1"/>
    <col min="11795" max="11795" width="16" style="52" customWidth="1"/>
    <col min="11796" max="11796" width="14.85546875" style="52" customWidth="1"/>
    <col min="11797" max="11797" width="15.28515625" style="52" customWidth="1"/>
    <col min="11798" max="11798" width="19.28515625" style="52" bestFit="1" customWidth="1"/>
    <col min="11799" max="12032" width="11.42578125" style="52"/>
    <col min="12033" max="12033" width="7.28515625" style="52" customWidth="1"/>
    <col min="12034" max="12035" width="11.28515625" style="52" bestFit="1" customWidth="1"/>
    <col min="12036" max="12036" width="9.7109375" style="52" customWidth="1"/>
    <col min="12037" max="12037" width="17.28515625" style="52" bestFit="1" customWidth="1"/>
    <col min="12038" max="12038" width="11" style="52" bestFit="1" customWidth="1"/>
    <col min="12039" max="12039" width="11.42578125" style="52"/>
    <col min="12040" max="12040" width="13.42578125" style="52" customWidth="1"/>
    <col min="12041" max="12041" width="15.28515625" style="52" customWidth="1"/>
    <col min="12042" max="12042" width="19.5703125" style="52" customWidth="1"/>
    <col min="12043" max="12043" width="18.28515625" style="52" bestFit="1" customWidth="1"/>
    <col min="12044" max="12044" width="10.85546875" style="52" bestFit="1" customWidth="1"/>
    <col min="12045" max="12045" width="10.7109375" style="52" bestFit="1" customWidth="1"/>
    <col min="12046" max="12046" width="13.85546875" style="52" customWidth="1"/>
    <col min="12047" max="12047" width="10.85546875" style="52" bestFit="1" customWidth="1"/>
    <col min="12048" max="12048" width="10.7109375" style="52" bestFit="1" customWidth="1"/>
    <col min="12049" max="12049" width="18" style="52" customWidth="1"/>
    <col min="12050" max="12050" width="13.140625" style="52" customWidth="1"/>
    <col min="12051" max="12051" width="16" style="52" customWidth="1"/>
    <col min="12052" max="12052" width="14.85546875" style="52" customWidth="1"/>
    <col min="12053" max="12053" width="15.28515625" style="52" customWidth="1"/>
    <col min="12054" max="12054" width="19.28515625" style="52" bestFit="1" customWidth="1"/>
    <col min="12055" max="12288" width="11.42578125" style="52"/>
    <col min="12289" max="12289" width="7.28515625" style="52" customWidth="1"/>
    <col min="12290" max="12291" width="11.28515625" style="52" bestFit="1" customWidth="1"/>
    <col min="12292" max="12292" width="9.7109375" style="52" customWidth="1"/>
    <col min="12293" max="12293" width="17.28515625" style="52" bestFit="1" customWidth="1"/>
    <col min="12294" max="12294" width="11" style="52" bestFit="1" customWidth="1"/>
    <col min="12295" max="12295" width="11.42578125" style="52"/>
    <col min="12296" max="12296" width="13.42578125" style="52" customWidth="1"/>
    <col min="12297" max="12297" width="15.28515625" style="52" customWidth="1"/>
    <col min="12298" max="12298" width="19.5703125" style="52" customWidth="1"/>
    <col min="12299" max="12299" width="18.28515625" style="52" bestFit="1" customWidth="1"/>
    <col min="12300" max="12300" width="10.85546875" style="52" bestFit="1" customWidth="1"/>
    <col min="12301" max="12301" width="10.7109375" style="52" bestFit="1" customWidth="1"/>
    <col min="12302" max="12302" width="13.85546875" style="52" customWidth="1"/>
    <col min="12303" max="12303" width="10.85546875" style="52" bestFit="1" customWidth="1"/>
    <col min="12304" max="12304" width="10.7109375" style="52" bestFit="1" customWidth="1"/>
    <col min="12305" max="12305" width="18" style="52" customWidth="1"/>
    <col min="12306" max="12306" width="13.140625" style="52" customWidth="1"/>
    <col min="12307" max="12307" width="16" style="52" customWidth="1"/>
    <col min="12308" max="12308" width="14.85546875" style="52" customWidth="1"/>
    <col min="12309" max="12309" width="15.28515625" style="52" customWidth="1"/>
    <col min="12310" max="12310" width="19.28515625" style="52" bestFit="1" customWidth="1"/>
    <col min="12311" max="12544" width="11.42578125" style="52"/>
    <col min="12545" max="12545" width="7.28515625" style="52" customWidth="1"/>
    <col min="12546" max="12547" width="11.28515625" style="52" bestFit="1" customWidth="1"/>
    <col min="12548" max="12548" width="9.7109375" style="52" customWidth="1"/>
    <col min="12549" max="12549" width="17.28515625" style="52" bestFit="1" customWidth="1"/>
    <col min="12550" max="12550" width="11" style="52" bestFit="1" customWidth="1"/>
    <col min="12551" max="12551" width="11.42578125" style="52"/>
    <col min="12552" max="12552" width="13.42578125" style="52" customWidth="1"/>
    <col min="12553" max="12553" width="15.28515625" style="52" customWidth="1"/>
    <col min="12554" max="12554" width="19.5703125" style="52" customWidth="1"/>
    <col min="12555" max="12555" width="18.28515625" style="52" bestFit="1" customWidth="1"/>
    <col min="12556" max="12556" width="10.85546875" style="52" bestFit="1" customWidth="1"/>
    <col min="12557" max="12557" width="10.7109375" style="52" bestFit="1" customWidth="1"/>
    <col min="12558" max="12558" width="13.85546875" style="52" customWidth="1"/>
    <col min="12559" max="12559" width="10.85546875" style="52" bestFit="1" customWidth="1"/>
    <col min="12560" max="12560" width="10.7109375" style="52" bestFit="1" customWidth="1"/>
    <col min="12561" max="12561" width="18" style="52" customWidth="1"/>
    <col min="12562" max="12562" width="13.140625" style="52" customWidth="1"/>
    <col min="12563" max="12563" width="16" style="52" customWidth="1"/>
    <col min="12564" max="12564" width="14.85546875" style="52" customWidth="1"/>
    <col min="12565" max="12565" width="15.28515625" style="52" customWidth="1"/>
    <col min="12566" max="12566" width="19.28515625" style="52" bestFit="1" customWidth="1"/>
    <col min="12567" max="12800" width="11.42578125" style="52"/>
    <col min="12801" max="12801" width="7.28515625" style="52" customWidth="1"/>
    <col min="12802" max="12803" width="11.28515625" style="52" bestFit="1" customWidth="1"/>
    <col min="12804" max="12804" width="9.7109375" style="52" customWidth="1"/>
    <col min="12805" max="12805" width="17.28515625" style="52" bestFit="1" customWidth="1"/>
    <col min="12806" max="12806" width="11" style="52" bestFit="1" customWidth="1"/>
    <col min="12807" max="12807" width="11.42578125" style="52"/>
    <col min="12808" max="12808" width="13.42578125" style="52" customWidth="1"/>
    <col min="12809" max="12809" width="15.28515625" style="52" customWidth="1"/>
    <col min="12810" max="12810" width="19.5703125" style="52" customWidth="1"/>
    <col min="12811" max="12811" width="18.28515625" style="52" bestFit="1" customWidth="1"/>
    <col min="12812" max="12812" width="10.85546875" style="52" bestFit="1" customWidth="1"/>
    <col min="12813" max="12813" width="10.7109375" style="52" bestFit="1" customWidth="1"/>
    <col min="12814" max="12814" width="13.85546875" style="52" customWidth="1"/>
    <col min="12815" max="12815" width="10.85546875" style="52" bestFit="1" customWidth="1"/>
    <col min="12816" max="12816" width="10.7109375" style="52" bestFit="1" customWidth="1"/>
    <col min="12817" max="12817" width="18" style="52" customWidth="1"/>
    <col min="12818" max="12818" width="13.140625" style="52" customWidth="1"/>
    <col min="12819" max="12819" width="16" style="52" customWidth="1"/>
    <col min="12820" max="12820" width="14.85546875" style="52" customWidth="1"/>
    <col min="12821" max="12821" width="15.28515625" style="52" customWidth="1"/>
    <col min="12822" max="12822" width="19.28515625" style="52" bestFit="1" customWidth="1"/>
    <col min="12823" max="13056" width="11.42578125" style="52"/>
    <col min="13057" max="13057" width="7.28515625" style="52" customWidth="1"/>
    <col min="13058" max="13059" width="11.28515625" style="52" bestFit="1" customWidth="1"/>
    <col min="13060" max="13060" width="9.7109375" style="52" customWidth="1"/>
    <col min="13061" max="13061" width="17.28515625" style="52" bestFit="1" customWidth="1"/>
    <col min="13062" max="13062" width="11" style="52" bestFit="1" customWidth="1"/>
    <col min="13063" max="13063" width="11.42578125" style="52"/>
    <col min="13064" max="13064" width="13.42578125" style="52" customWidth="1"/>
    <col min="13065" max="13065" width="15.28515625" style="52" customWidth="1"/>
    <col min="13066" max="13066" width="19.5703125" style="52" customWidth="1"/>
    <col min="13067" max="13067" width="18.28515625" style="52" bestFit="1" customWidth="1"/>
    <col min="13068" max="13068" width="10.85546875" style="52" bestFit="1" customWidth="1"/>
    <col min="13069" max="13069" width="10.7109375" style="52" bestFit="1" customWidth="1"/>
    <col min="13070" max="13070" width="13.85546875" style="52" customWidth="1"/>
    <col min="13071" max="13071" width="10.85546875" style="52" bestFit="1" customWidth="1"/>
    <col min="13072" max="13072" width="10.7109375" style="52" bestFit="1" customWidth="1"/>
    <col min="13073" max="13073" width="18" style="52" customWidth="1"/>
    <col min="13074" max="13074" width="13.140625" style="52" customWidth="1"/>
    <col min="13075" max="13075" width="16" style="52" customWidth="1"/>
    <col min="13076" max="13076" width="14.85546875" style="52" customWidth="1"/>
    <col min="13077" max="13077" width="15.28515625" style="52" customWidth="1"/>
    <col min="13078" max="13078" width="19.28515625" style="52" bestFit="1" customWidth="1"/>
    <col min="13079" max="13312" width="11.42578125" style="52"/>
    <col min="13313" max="13313" width="7.28515625" style="52" customWidth="1"/>
    <col min="13314" max="13315" width="11.28515625" style="52" bestFit="1" customWidth="1"/>
    <col min="13316" max="13316" width="9.7109375" style="52" customWidth="1"/>
    <col min="13317" max="13317" width="17.28515625" style="52" bestFit="1" customWidth="1"/>
    <col min="13318" max="13318" width="11" style="52" bestFit="1" customWidth="1"/>
    <col min="13319" max="13319" width="11.42578125" style="52"/>
    <col min="13320" max="13320" width="13.42578125" style="52" customWidth="1"/>
    <col min="13321" max="13321" width="15.28515625" style="52" customWidth="1"/>
    <col min="13322" max="13322" width="19.5703125" style="52" customWidth="1"/>
    <col min="13323" max="13323" width="18.28515625" style="52" bestFit="1" customWidth="1"/>
    <col min="13324" max="13324" width="10.85546875" style="52" bestFit="1" customWidth="1"/>
    <col min="13325" max="13325" width="10.7109375" style="52" bestFit="1" customWidth="1"/>
    <col min="13326" max="13326" width="13.85546875" style="52" customWidth="1"/>
    <col min="13327" max="13327" width="10.85546875" style="52" bestFit="1" customWidth="1"/>
    <col min="13328" max="13328" width="10.7109375" style="52" bestFit="1" customWidth="1"/>
    <col min="13329" max="13329" width="18" style="52" customWidth="1"/>
    <col min="13330" max="13330" width="13.140625" style="52" customWidth="1"/>
    <col min="13331" max="13331" width="16" style="52" customWidth="1"/>
    <col min="13332" max="13332" width="14.85546875" style="52" customWidth="1"/>
    <col min="13333" max="13333" width="15.28515625" style="52" customWidth="1"/>
    <col min="13334" max="13334" width="19.28515625" style="52" bestFit="1" customWidth="1"/>
    <col min="13335" max="13568" width="11.42578125" style="52"/>
    <col min="13569" max="13569" width="7.28515625" style="52" customWidth="1"/>
    <col min="13570" max="13571" width="11.28515625" style="52" bestFit="1" customWidth="1"/>
    <col min="13572" max="13572" width="9.7109375" style="52" customWidth="1"/>
    <col min="13573" max="13573" width="17.28515625" style="52" bestFit="1" customWidth="1"/>
    <col min="13574" max="13574" width="11" style="52" bestFit="1" customWidth="1"/>
    <col min="13575" max="13575" width="11.42578125" style="52"/>
    <col min="13576" max="13576" width="13.42578125" style="52" customWidth="1"/>
    <col min="13577" max="13577" width="15.28515625" style="52" customWidth="1"/>
    <col min="13578" max="13578" width="19.5703125" style="52" customWidth="1"/>
    <col min="13579" max="13579" width="18.28515625" style="52" bestFit="1" customWidth="1"/>
    <col min="13580" max="13580" width="10.85546875" style="52" bestFit="1" customWidth="1"/>
    <col min="13581" max="13581" width="10.7109375" style="52" bestFit="1" customWidth="1"/>
    <col min="13582" max="13582" width="13.85546875" style="52" customWidth="1"/>
    <col min="13583" max="13583" width="10.85546875" style="52" bestFit="1" customWidth="1"/>
    <col min="13584" max="13584" width="10.7109375" style="52" bestFit="1" customWidth="1"/>
    <col min="13585" max="13585" width="18" style="52" customWidth="1"/>
    <col min="13586" max="13586" width="13.140625" style="52" customWidth="1"/>
    <col min="13587" max="13587" width="16" style="52" customWidth="1"/>
    <col min="13588" max="13588" width="14.85546875" style="52" customWidth="1"/>
    <col min="13589" max="13589" width="15.28515625" style="52" customWidth="1"/>
    <col min="13590" max="13590" width="19.28515625" style="52" bestFit="1" customWidth="1"/>
    <col min="13591" max="13824" width="11.42578125" style="52"/>
    <col min="13825" max="13825" width="7.28515625" style="52" customWidth="1"/>
    <col min="13826" max="13827" width="11.28515625" style="52" bestFit="1" customWidth="1"/>
    <col min="13828" max="13828" width="9.7109375" style="52" customWidth="1"/>
    <col min="13829" max="13829" width="17.28515625" style="52" bestFit="1" customWidth="1"/>
    <col min="13830" max="13830" width="11" style="52" bestFit="1" customWidth="1"/>
    <col min="13831" max="13831" width="11.42578125" style="52"/>
    <col min="13832" max="13832" width="13.42578125" style="52" customWidth="1"/>
    <col min="13833" max="13833" width="15.28515625" style="52" customWidth="1"/>
    <col min="13834" max="13834" width="19.5703125" style="52" customWidth="1"/>
    <col min="13835" max="13835" width="18.28515625" style="52" bestFit="1" customWidth="1"/>
    <col min="13836" max="13836" width="10.85546875" style="52" bestFit="1" customWidth="1"/>
    <col min="13837" max="13837" width="10.7109375" style="52" bestFit="1" customWidth="1"/>
    <col min="13838" max="13838" width="13.85546875" style="52" customWidth="1"/>
    <col min="13839" max="13839" width="10.85546875" style="52" bestFit="1" customWidth="1"/>
    <col min="13840" max="13840" width="10.7109375" style="52" bestFit="1" customWidth="1"/>
    <col min="13841" max="13841" width="18" style="52" customWidth="1"/>
    <col min="13842" max="13842" width="13.140625" style="52" customWidth="1"/>
    <col min="13843" max="13843" width="16" style="52" customWidth="1"/>
    <col min="13844" max="13844" width="14.85546875" style="52" customWidth="1"/>
    <col min="13845" max="13845" width="15.28515625" style="52" customWidth="1"/>
    <col min="13846" max="13846" width="19.28515625" style="52" bestFit="1" customWidth="1"/>
    <col min="13847" max="14080" width="11.42578125" style="52"/>
    <col min="14081" max="14081" width="7.28515625" style="52" customWidth="1"/>
    <col min="14082" max="14083" width="11.28515625" style="52" bestFit="1" customWidth="1"/>
    <col min="14084" max="14084" width="9.7109375" style="52" customWidth="1"/>
    <col min="14085" max="14085" width="17.28515625" style="52" bestFit="1" customWidth="1"/>
    <col min="14086" max="14086" width="11" style="52" bestFit="1" customWidth="1"/>
    <col min="14087" max="14087" width="11.42578125" style="52"/>
    <col min="14088" max="14088" width="13.42578125" style="52" customWidth="1"/>
    <col min="14089" max="14089" width="15.28515625" style="52" customWidth="1"/>
    <col min="14090" max="14090" width="19.5703125" style="52" customWidth="1"/>
    <col min="14091" max="14091" width="18.28515625" style="52" bestFit="1" customWidth="1"/>
    <col min="14092" max="14092" width="10.85546875" style="52" bestFit="1" customWidth="1"/>
    <col min="14093" max="14093" width="10.7109375" style="52" bestFit="1" customWidth="1"/>
    <col min="14094" max="14094" width="13.85546875" style="52" customWidth="1"/>
    <col min="14095" max="14095" width="10.85546875" style="52" bestFit="1" customWidth="1"/>
    <col min="14096" max="14096" width="10.7109375" style="52" bestFit="1" customWidth="1"/>
    <col min="14097" max="14097" width="18" style="52" customWidth="1"/>
    <col min="14098" max="14098" width="13.140625" style="52" customWidth="1"/>
    <col min="14099" max="14099" width="16" style="52" customWidth="1"/>
    <col min="14100" max="14100" width="14.85546875" style="52" customWidth="1"/>
    <col min="14101" max="14101" width="15.28515625" style="52" customWidth="1"/>
    <col min="14102" max="14102" width="19.28515625" style="52" bestFit="1" customWidth="1"/>
    <col min="14103" max="14336" width="11.42578125" style="52"/>
    <col min="14337" max="14337" width="7.28515625" style="52" customWidth="1"/>
    <col min="14338" max="14339" width="11.28515625" style="52" bestFit="1" customWidth="1"/>
    <col min="14340" max="14340" width="9.7109375" style="52" customWidth="1"/>
    <col min="14341" max="14341" width="17.28515625" style="52" bestFit="1" customWidth="1"/>
    <col min="14342" max="14342" width="11" style="52" bestFit="1" customWidth="1"/>
    <col min="14343" max="14343" width="11.42578125" style="52"/>
    <col min="14344" max="14344" width="13.42578125" style="52" customWidth="1"/>
    <col min="14345" max="14345" width="15.28515625" style="52" customWidth="1"/>
    <col min="14346" max="14346" width="19.5703125" style="52" customWidth="1"/>
    <col min="14347" max="14347" width="18.28515625" style="52" bestFit="1" customWidth="1"/>
    <col min="14348" max="14348" width="10.85546875" style="52" bestFit="1" customWidth="1"/>
    <col min="14349" max="14349" width="10.7109375" style="52" bestFit="1" customWidth="1"/>
    <col min="14350" max="14350" width="13.85546875" style="52" customWidth="1"/>
    <col min="14351" max="14351" width="10.85546875" style="52" bestFit="1" customWidth="1"/>
    <col min="14352" max="14352" width="10.7109375" style="52" bestFit="1" customWidth="1"/>
    <col min="14353" max="14353" width="18" style="52" customWidth="1"/>
    <col min="14354" max="14354" width="13.140625" style="52" customWidth="1"/>
    <col min="14355" max="14355" width="16" style="52" customWidth="1"/>
    <col min="14356" max="14356" width="14.85546875" style="52" customWidth="1"/>
    <col min="14357" max="14357" width="15.28515625" style="52" customWidth="1"/>
    <col min="14358" max="14358" width="19.28515625" style="52" bestFit="1" customWidth="1"/>
    <col min="14359" max="14592" width="11.42578125" style="52"/>
    <col min="14593" max="14593" width="7.28515625" style="52" customWidth="1"/>
    <col min="14594" max="14595" width="11.28515625" style="52" bestFit="1" customWidth="1"/>
    <col min="14596" max="14596" width="9.7109375" style="52" customWidth="1"/>
    <col min="14597" max="14597" width="17.28515625" style="52" bestFit="1" customWidth="1"/>
    <col min="14598" max="14598" width="11" style="52" bestFit="1" customWidth="1"/>
    <col min="14599" max="14599" width="11.42578125" style="52"/>
    <col min="14600" max="14600" width="13.42578125" style="52" customWidth="1"/>
    <col min="14601" max="14601" width="15.28515625" style="52" customWidth="1"/>
    <col min="14602" max="14602" width="19.5703125" style="52" customWidth="1"/>
    <col min="14603" max="14603" width="18.28515625" style="52" bestFit="1" customWidth="1"/>
    <col min="14604" max="14604" width="10.85546875" style="52" bestFit="1" customWidth="1"/>
    <col min="14605" max="14605" width="10.7109375" style="52" bestFit="1" customWidth="1"/>
    <col min="14606" max="14606" width="13.85546875" style="52" customWidth="1"/>
    <col min="14607" max="14607" width="10.85546875" style="52" bestFit="1" customWidth="1"/>
    <col min="14608" max="14608" width="10.7109375" style="52" bestFit="1" customWidth="1"/>
    <col min="14609" max="14609" width="18" style="52" customWidth="1"/>
    <col min="14610" max="14610" width="13.140625" style="52" customWidth="1"/>
    <col min="14611" max="14611" width="16" style="52" customWidth="1"/>
    <col min="14612" max="14612" width="14.85546875" style="52" customWidth="1"/>
    <col min="14613" max="14613" width="15.28515625" style="52" customWidth="1"/>
    <col min="14614" max="14614" width="19.28515625" style="52" bestFit="1" customWidth="1"/>
    <col min="14615" max="14848" width="11.42578125" style="52"/>
    <col min="14849" max="14849" width="7.28515625" style="52" customWidth="1"/>
    <col min="14850" max="14851" width="11.28515625" style="52" bestFit="1" customWidth="1"/>
    <col min="14852" max="14852" width="9.7109375" style="52" customWidth="1"/>
    <col min="14853" max="14853" width="17.28515625" style="52" bestFit="1" customWidth="1"/>
    <col min="14854" max="14854" width="11" style="52" bestFit="1" customWidth="1"/>
    <col min="14855" max="14855" width="11.42578125" style="52"/>
    <col min="14856" max="14856" width="13.42578125" style="52" customWidth="1"/>
    <col min="14857" max="14857" width="15.28515625" style="52" customWidth="1"/>
    <col min="14858" max="14858" width="19.5703125" style="52" customWidth="1"/>
    <col min="14859" max="14859" width="18.28515625" style="52" bestFit="1" customWidth="1"/>
    <col min="14860" max="14860" width="10.85546875" style="52" bestFit="1" customWidth="1"/>
    <col min="14861" max="14861" width="10.7109375" style="52" bestFit="1" customWidth="1"/>
    <col min="14862" max="14862" width="13.85546875" style="52" customWidth="1"/>
    <col min="14863" max="14863" width="10.85546875" style="52" bestFit="1" customWidth="1"/>
    <col min="14864" max="14864" width="10.7109375" style="52" bestFit="1" customWidth="1"/>
    <col min="14865" max="14865" width="18" style="52" customWidth="1"/>
    <col min="14866" max="14866" width="13.140625" style="52" customWidth="1"/>
    <col min="14867" max="14867" width="16" style="52" customWidth="1"/>
    <col min="14868" max="14868" width="14.85546875" style="52" customWidth="1"/>
    <col min="14869" max="14869" width="15.28515625" style="52" customWidth="1"/>
    <col min="14870" max="14870" width="19.28515625" style="52" bestFit="1" customWidth="1"/>
    <col min="14871" max="15104" width="11.42578125" style="52"/>
    <col min="15105" max="15105" width="7.28515625" style="52" customWidth="1"/>
    <col min="15106" max="15107" width="11.28515625" style="52" bestFit="1" customWidth="1"/>
    <col min="15108" max="15108" width="9.7109375" style="52" customWidth="1"/>
    <col min="15109" max="15109" width="17.28515625" style="52" bestFit="1" customWidth="1"/>
    <col min="15110" max="15110" width="11" style="52" bestFit="1" customWidth="1"/>
    <col min="15111" max="15111" width="11.42578125" style="52"/>
    <col min="15112" max="15112" width="13.42578125" style="52" customWidth="1"/>
    <col min="15113" max="15113" width="15.28515625" style="52" customWidth="1"/>
    <col min="15114" max="15114" width="19.5703125" style="52" customWidth="1"/>
    <col min="15115" max="15115" width="18.28515625" style="52" bestFit="1" customWidth="1"/>
    <col min="15116" max="15116" width="10.85546875" style="52" bestFit="1" customWidth="1"/>
    <col min="15117" max="15117" width="10.7109375" style="52" bestFit="1" customWidth="1"/>
    <col min="15118" max="15118" width="13.85546875" style="52" customWidth="1"/>
    <col min="15119" max="15119" width="10.85546875" style="52" bestFit="1" customWidth="1"/>
    <col min="15120" max="15120" width="10.7109375" style="52" bestFit="1" customWidth="1"/>
    <col min="15121" max="15121" width="18" style="52" customWidth="1"/>
    <col min="15122" max="15122" width="13.140625" style="52" customWidth="1"/>
    <col min="15123" max="15123" width="16" style="52" customWidth="1"/>
    <col min="15124" max="15124" width="14.85546875" style="52" customWidth="1"/>
    <col min="15125" max="15125" width="15.28515625" style="52" customWidth="1"/>
    <col min="15126" max="15126" width="19.28515625" style="52" bestFit="1" customWidth="1"/>
    <col min="15127" max="15360" width="11.42578125" style="52"/>
    <col min="15361" max="15361" width="7.28515625" style="52" customWidth="1"/>
    <col min="15362" max="15363" width="11.28515625" style="52" bestFit="1" customWidth="1"/>
    <col min="15364" max="15364" width="9.7109375" style="52" customWidth="1"/>
    <col min="15365" max="15365" width="17.28515625" style="52" bestFit="1" customWidth="1"/>
    <col min="15366" max="15366" width="11" style="52" bestFit="1" customWidth="1"/>
    <col min="15367" max="15367" width="11.42578125" style="52"/>
    <col min="15368" max="15368" width="13.42578125" style="52" customWidth="1"/>
    <col min="15369" max="15369" width="15.28515625" style="52" customWidth="1"/>
    <col min="15370" max="15370" width="19.5703125" style="52" customWidth="1"/>
    <col min="15371" max="15371" width="18.28515625" style="52" bestFit="1" customWidth="1"/>
    <col min="15372" max="15372" width="10.85546875" style="52" bestFit="1" customWidth="1"/>
    <col min="15373" max="15373" width="10.7109375" style="52" bestFit="1" customWidth="1"/>
    <col min="15374" max="15374" width="13.85546875" style="52" customWidth="1"/>
    <col min="15375" max="15375" width="10.85546875" style="52" bestFit="1" customWidth="1"/>
    <col min="15376" max="15376" width="10.7109375" style="52" bestFit="1" customWidth="1"/>
    <col min="15377" max="15377" width="18" style="52" customWidth="1"/>
    <col min="15378" max="15378" width="13.140625" style="52" customWidth="1"/>
    <col min="15379" max="15379" width="16" style="52" customWidth="1"/>
    <col min="15380" max="15380" width="14.85546875" style="52" customWidth="1"/>
    <col min="15381" max="15381" width="15.28515625" style="52" customWidth="1"/>
    <col min="15382" max="15382" width="19.28515625" style="52" bestFit="1" customWidth="1"/>
    <col min="15383" max="15616" width="11.42578125" style="52"/>
    <col min="15617" max="15617" width="7.28515625" style="52" customWidth="1"/>
    <col min="15618" max="15619" width="11.28515625" style="52" bestFit="1" customWidth="1"/>
    <col min="15620" max="15620" width="9.7109375" style="52" customWidth="1"/>
    <col min="15621" max="15621" width="17.28515625" style="52" bestFit="1" customWidth="1"/>
    <col min="15622" max="15622" width="11" style="52" bestFit="1" customWidth="1"/>
    <col min="15623" max="15623" width="11.42578125" style="52"/>
    <col min="15624" max="15624" width="13.42578125" style="52" customWidth="1"/>
    <col min="15625" max="15625" width="15.28515625" style="52" customWidth="1"/>
    <col min="15626" max="15626" width="19.5703125" style="52" customWidth="1"/>
    <col min="15627" max="15627" width="18.28515625" style="52" bestFit="1" customWidth="1"/>
    <col min="15628" max="15628" width="10.85546875" style="52" bestFit="1" customWidth="1"/>
    <col min="15629" max="15629" width="10.7109375" style="52" bestFit="1" customWidth="1"/>
    <col min="15630" max="15630" width="13.85546875" style="52" customWidth="1"/>
    <col min="15631" max="15631" width="10.85546875" style="52" bestFit="1" customWidth="1"/>
    <col min="15632" max="15632" width="10.7109375" style="52" bestFit="1" customWidth="1"/>
    <col min="15633" max="15633" width="18" style="52" customWidth="1"/>
    <col min="15634" max="15634" width="13.140625" style="52" customWidth="1"/>
    <col min="15635" max="15635" width="16" style="52" customWidth="1"/>
    <col min="15636" max="15636" width="14.85546875" style="52" customWidth="1"/>
    <col min="15637" max="15637" width="15.28515625" style="52" customWidth="1"/>
    <col min="15638" max="15638" width="19.28515625" style="52" bestFit="1" customWidth="1"/>
    <col min="15639" max="15872" width="11.42578125" style="52"/>
    <col min="15873" max="15873" width="7.28515625" style="52" customWidth="1"/>
    <col min="15874" max="15875" width="11.28515625" style="52" bestFit="1" customWidth="1"/>
    <col min="15876" max="15876" width="9.7109375" style="52" customWidth="1"/>
    <col min="15877" max="15877" width="17.28515625" style="52" bestFit="1" customWidth="1"/>
    <col min="15878" max="15878" width="11" style="52" bestFit="1" customWidth="1"/>
    <col min="15879" max="15879" width="11.42578125" style="52"/>
    <col min="15880" max="15880" width="13.42578125" style="52" customWidth="1"/>
    <col min="15881" max="15881" width="15.28515625" style="52" customWidth="1"/>
    <col min="15882" max="15882" width="19.5703125" style="52" customWidth="1"/>
    <col min="15883" max="15883" width="18.28515625" style="52" bestFit="1" customWidth="1"/>
    <col min="15884" max="15884" width="10.85546875" style="52" bestFit="1" customWidth="1"/>
    <col min="15885" max="15885" width="10.7109375" style="52" bestFit="1" customWidth="1"/>
    <col min="15886" max="15886" width="13.85546875" style="52" customWidth="1"/>
    <col min="15887" max="15887" width="10.85546875" style="52" bestFit="1" customWidth="1"/>
    <col min="15888" max="15888" width="10.7109375" style="52" bestFit="1" customWidth="1"/>
    <col min="15889" max="15889" width="18" style="52" customWidth="1"/>
    <col min="15890" max="15890" width="13.140625" style="52" customWidth="1"/>
    <col min="15891" max="15891" width="16" style="52" customWidth="1"/>
    <col min="15892" max="15892" width="14.85546875" style="52" customWidth="1"/>
    <col min="15893" max="15893" width="15.28515625" style="52" customWidth="1"/>
    <col min="15894" max="15894" width="19.28515625" style="52" bestFit="1" customWidth="1"/>
    <col min="15895" max="16128" width="11.42578125" style="52"/>
    <col min="16129" max="16129" width="7.28515625" style="52" customWidth="1"/>
    <col min="16130" max="16131" width="11.28515625" style="52" bestFit="1" customWidth="1"/>
    <col min="16132" max="16132" width="9.7109375" style="52" customWidth="1"/>
    <col min="16133" max="16133" width="17.28515625" style="52" bestFit="1" customWidth="1"/>
    <col min="16134" max="16134" width="11" style="52" bestFit="1" customWidth="1"/>
    <col min="16135" max="16135" width="11.42578125" style="52"/>
    <col min="16136" max="16136" width="13.42578125" style="52" customWidth="1"/>
    <col min="16137" max="16137" width="15.28515625" style="52" customWidth="1"/>
    <col min="16138" max="16138" width="19.5703125" style="52" customWidth="1"/>
    <col min="16139" max="16139" width="18.28515625" style="52" bestFit="1" customWidth="1"/>
    <col min="16140" max="16140" width="10.85546875" style="52" bestFit="1" customWidth="1"/>
    <col min="16141" max="16141" width="10.7109375" style="52" bestFit="1" customWidth="1"/>
    <col min="16142" max="16142" width="13.85546875" style="52" customWidth="1"/>
    <col min="16143" max="16143" width="10.85546875" style="52" bestFit="1" customWidth="1"/>
    <col min="16144" max="16144" width="10.7109375" style="52" bestFit="1" customWidth="1"/>
    <col min="16145" max="16145" width="18" style="52" customWidth="1"/>
    <col min="16146" max="16146" width="13.140625" style="52" customWidth="1"/>
    <col min="16147" max="16147" width="16" style="52" customWidth="1"/>
    <col min="16148" max="16148" width="14.85546875" style="52" customWidth="1"/>
    <col min="16149" max="16149" width="15.28515625" style="52" customWidth="1"/>
    <col min="16150" max="16150" width="19.28515625" style="52" bestFit="1" customWidth="1"/>
    <col min="16151" max="16384" width="11.42578125" style="52"/>
  </cols>
  <sheetData>
    <row r="1" spans="1:22" ht="15" x14ac:dyDescent="0.2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2" ht="15" x14ac:dyDescent="0.25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</row>
    <row r="3" spans="1:22" ht="15" x14ac:dyDescent="0.25">
      <c r="A3"/>
    </row>
    <row r="7" spans="1:22" ht="23.25" x14ac:dyDescent="0.2">
      <c r="A7" s="173" t="s">
        <v>60</v>
      </c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</row>
    <row r="8" spans="1:22" x14ac:dyDescent="0.2">
      <c r="A8" s="175" t="s">
        <v>402</v>
      </c>
      <c r="B8" s="175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</row>
    <row r="9" spans="1:22" x14ac:dyDescent="0.2">
      <c r="A9" s="176" t="s">
        <v>403</v>
      </c>
      <c r="B9" s="176"/>
      <c r="C9" s="176"/>
      <c r="D9" s="176"/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76"/>
      <c r="V9" s="176"/>
    </row>
    <row r="10" spans="1:22" ht="12.75" customHeight="1" x14ac:dyDescent="0.2">
      <c r="J10" s="86"/>
      <c r="K10" s="86"/>
      <c r="L10" s="86"/>
      <c r="N10" s="86"/>
      <c r="O10" s="86"/>
      <c r="P10" s="86"/>
      <c r="Q10" s="86"/>
      <c r="R10" s="86"/>
      <c r="S10" s="86"/>
      <c r="T10" s="86"/>
      <c r="U10" s="86"/>
      <c r="V10" s="86"/>
    </row>
    <row r="11" spans="1:22" ht="12.75" customHeight="1" x14ac:dyDescent="0.2">
      <c r="A11" s="177" t="s">
        <v>295</v>
      </c>
      <c r="B11" s="178" t="s">
        <v>296</v>
      </c>
      <c r="C11" s="178" t="s">
        <v>297</v>
      </c>
      <c r="D11" s="178" t="s">
        <v>298</v>
      </c>
      <c r="E11" s="179" t="s">
        <v>299</v>
      </c>
      <c r="F11" s="179" t="s">
        <v>300</v>
      </c>
      <c r="G11" s="179" t="s">
        <v>301</v>
      </c>
      <c r="H11" s="182" t="s">
        <v>302</v>
      </c>
      <c r="I11" s="178" t="s">
        <v>303</v>
      </c>
      <c r="J11" s="178"/>
      <c r="K11" s="185" t="s">
        <v>304</v>
      </c>
      <c r="L11" s="186" t="s">
        <v>305</v>
      </c>
      <c r="M11" s="186"/>
      <c r="N11" s="186"/>
      <c r="O11" s="186"/>
      <c r="P11" s="186"/>
      <c r="Q11" s="186"/>
      <c r="R11" s="186"/>
      <c r="S11" s="177" t="s">
        <v>306</v>
      </c>
      <c r="T11" s="177"/>
      <c r="U11" s="177" t="s">
        <v>307</v>
      </c>
      <c r="V11" s="177" t="s">
        <v>308</v>
      </c>
    </row>
    <row r="12" spans="1:22" x14ac:dyDescent="0.2">
      <c r="A12" s="177"/>
      <c r="B12" s="178"/>
      <c r="C12" s="178"/>
      <c r="D12" s="178"/>
      <c r="E12" s="180"/>
      <c r="F12" s="180"/>
      <c r="G12" s="180"/>
      <c r="H12" s="183"/>
      <c r="I12" s="178"/>
      <c r="J12" s="178"/>
      <c r="K12" s="185"/>
      <c r="L12" s="177" t="s">
        <v>309</v>
      </c>
      <c r="M12" s="177"/>
      <c r="N12" s="177" t="s">
        <v>310</v>
      </c>
      <c r="O12" s="177" t="s">
        <v>311</v>
      </c>
      <c r="P12" s="177"/>
      <c r="Q12" s="177" t="s">
        <v>312</v>
      </c>
      <c r="R12" s="177" t="s">
        <v>313</v>
      </c>
      <c r="S12" s="177" t="s">
        <v>314</v>
      </c>
      <c r="T12" s="177" t="s">
        <v>315</v>
      </c>
      <c r="U12" s="177"/>
      <c r="V12" s="177"/>
    </row>
    <row r="13" spans="1:22" ht="25.5" x14ac:dyDescent="0.2">
      <c r="A13" s="177"/>
      <c r="B13" s="178"/>
      <c r="C13" s="178"/>
      <c r="D13" s="178"/>
      <c r="E13" s="181"/>
      <c r="F13" s="181"/>
      <c r="G13" s="181"/>
      <c r="H13" s="184"/>
      <c r="I13" s="143" t="s">
        <v>316</v>
      </c>
      <c r="J13" s="143" t="s">
        <v>317</v>
      </c>
      <c r="K13" s="185"/>
      <c r="L13" s="142" t="s">
        <v>318</v>
      </c>
      <c r="M13" s="142" t="s">
        <v>319</v>
      </c>
      <c r="N13" s="177"/>
      <c r="O13" s="142" t="s">
        <v>320</v>
      </c>
      <c r="P13" s="142" t="s">
        <v>321</v>
      </c>
      <c r="Q13" s="177"/>
      <c r="R13" s="177"/>
      <c r="S13" s="177"/>
      <c r="T13" s="177"/>
      <c r="U13" s="177"/>
      <c r="V13" s="177"/>
    </row>
    <row r="14" spans="1:22" ht="15" x14ac:dyDescent="0.2">
      <c r="A14" s="87">
        <v>1</v>
      </c>
      <c r="B14" s="55" t="s">
        <v>282</v>
      </c>
      <c r="C14" s="55" t="s">
        <v>328</v>
      </c>
      <c r="D14" s="89" t="s">
        <v>329</v>
      </c>
      <c r="E14" s="56" t="s">
        <v>284</v>
      </c>
      <c r="F14" s="82" t="s">
        <v>283</v>
      </c>
      <c r="G14" s="91" t="s">
        <v>324</v>
      </c>
      <c r="H14" s="107" t="s">
        <v>342</v>
      </c>
      <c r="I14" s="83">
        <v>45931</v>
      </c>
      <c r="J14" s="93">
        <v>45955</v>
      </c>
      <c r="K14" s="84">
        <v>20000</v>
      </c>
      <c r="L14" s="94"/>
      <c r="M14" s="94"/>
      <c r="N14" s="95"/>
      <c r="O14" s="94"/>
      <c r="P14" s="94"/>
      <c r="Q14" s="96"/>
      <c r="R14" s="94"/>
      <c r="S14" s="94"/>
      <c r="T14" s="94"/>
      <c r="U14" s="94"/>
      <c r="V14" s="97"/>
    </row>
    <row r="15" spans="1:22" ht="15" x14ac:dyDescent="0.2">
      <c r="A15" s="87">
        <v>2</v>
      </c>
      <c r="B15" s="55" t="s">
        <v>404</v>
      </c>
      <c r="C15" s="55" t="s">
        <v>405</v>
      </c>
      <c r="D15" s="98" t="s">
        <v>406</v>
      </c>
      <c r="E15" s="55" t="s">
        <v>286</v>
      </c>
      <c r="F15" s="55" t="s">
        <v>285</v>
      </c>
      <c r="G15" s="91" t="s">
        <v>324</v>
      </c>
      <c r="H15" s="107">
        <v>11</v>
      </c>
      <c r="I15" s="83">
        <v>45931</v>
      </c>
      <c r="J15" s="93">
        <v>45955</v>
      </c>
      <c r="K15" s="85">
        <v>10000</v>
      </c>
      <c r="L15" s="94"/>
      <c r="M15" s="94"/>
      <c r="N15" s="95"/>
      <c r="O15" s="94"/>
      <c r="P15" s="94"/>
      <c r="Q15" s="96"/>
      <c r="R15" s="94"/>
      <c r="S15" s="94"/>
      <c r="T15" s="94"/>
      <c r="U15" s="94"/>
      <c r="V15" s="97"/>
    </row>
    <row r="16" spans="1:22" x14ac:dyDescent="0.2">
      <c r="A16" s="87">
        <v>3</v>
      </c>
      <c r="B16" s="55" t="s">
        <v>292</v>
      </c>
      <c r="C16" s="55" t="s">
        <v>332</v>
      </c>
      <c r="D16" s="98" t="s">
        <v>333</v>
      </c>
      <c r="E16" s="55" t="s">
        <v>294</v>
      </c>
      <c r="F16" s="55" t="s">
        <v>293</v>
      </c>
      <c r="G16" s="91" t="s">
        <v>324</v>
      </c>
      <c r="H16" s="108" t="s">
        <v>342</v>
      </c>
      <c r="I16" s="83">
        <v>45931</v>
      </c>
      <c r="J16" s="93">
        <v>45955</v>
      </c>
      <c r="K16" s="85">
        <v>45000</v>
      </c>
      <c r="L16" s="94"/>
      <c r="M16" s="94"/>
      <c r="N16" s="95"/>
      <c r="O16" s="94"/>
      <c r="P16" s="94"/>
      <c r="Q16" s="96"/>
      <c r="R16" s="94"/>
      <c r="S16" s="94"/>
      <c r="T16" s="94"/>
      <c r="U16" s="94"/>
      <c r="V16" s="97"/>
    </row>
    <row r="17" spans="1:22" ht="15" x14ac:dyDescent="0.2">
      <c r="A17" s="87">
        <v>4</v>
      </c>
      <c r="B17" s="55" t="s">
        <v>407</v>
      </c>
      <c r="C17" s="55" t="s">
        <v>408</v>
      </c>
      <c r="D17" s="98" t="s">
        <v>409</v>
      </c>
      <c r="E17" s="55" t="s">
        <v>288</v>
      </c>
      <c r="F17" s="55" t="s">
        <v>287</v>
      </c>
      <c r="G17" s="91" t="s">
        <v>324</v>
      </c>
      <c r="H17" s="107" t="s">
        <v>326</v>
      </c>
      <c r="I17" s="83">
        <v>45931</v>
      </c>
      <c r="J17" s="93">
        <v>45955</v>
      </c>
      <c r="K17" s="85">
        <v>12000</v>
      </c>
      <c r="L17" s="94"/>
      <c r="M17" s="94"/>
      <c r="N17" s="95"/>
      <c r="O17" s="94"/>
      <c r="P17" s="94"/>
      <c r="Q17" s="96"/>
      <c r="R17" s="94"/>
      <c r="S17" s="94"/>
      <c r="T17" s="94"/>
      <c r="U17" s="94"/>
      <c r="V17" s="97"/>
    </row>
    <row r="18" spans="1:22" ht="22.5" x14ac:dyDescent="0.2">
      <c r="A18" s="87">
        <v>5</v>
      </c>
      <c r="B18" s="88" t="s">
        <v>112</v>
      </c>
      <c r="C18" s="55" t="s">
        <v>322</v>
      </c>
      <c r="D18" s="89" t="s">
        <v>323</v>
      </c>
      <c r="E18" s="56" t="s">
        <v>113</v>
      </c>
      <c r="F18" s="90" t="s">
        <v>114</v>
      </c>
      <c r="G18" s="91" t="s">
        <v>324</v>
      </c>
      <c r="H18" s="92" t="s">
        <v>325</v>
      </c>
      <c r="I18" s="83">
        <v>45931</v>
      </c>
      <c r="J18" s="93">
        <v>45955</v>
      </c>
      <c r="K18" s="193">
        <v>15000</v>
      </c>
      <c r="L18" s="94"/>
      <c r="M18" s="94"/>
      <c r="N18" s="95"/>
      <c r="O18" s="94"/>
      <c r="P18" s="94"/>
      <c r="Q18" s="96"/>
      <c r="R18" s="94"/>
      <c r="S18" s="94"/>
      <c r="T18" s="94"/>
      <c r="U18" s="94"/>
      <c r="V18" s="97"/>
    </row>
    <row r="19" spans="1:22" ht="15" x14ac:dyDescent="0.2">
      <c r="A19" s="87">
        <v>6</v>
      </c>
      <c r="B19" s="55" t="s">
        <v>289</v>
      </c>
      <c r="C19" s="55" t="s">
        <v>330</v>
      </c>
      <c r="D19" s="98" t="s">
        <v>331</v>
      </c>
      <c r="E19" s="55" t="s">
        <v>291</v>
      </c>
      <c r="F19" s="55" t="s">
        <v>290</v>
      </c>
      <c r="G19" s="91" t="s">
        <v>324</v>
      </c>
      <c r="H19" s="107" t="s">
        <v>342</v>
      </c>
      <c r="I19" s="83">
        <v>45931</v>
      </c>
      <c r="J19" s="93">
        <v>45955</v>
      </c>
      <c r="K19" s="85">
        <v>18000</v>
      </c>
      <c r="L19" s="94"/>
      <c r="M19" s="94"/>
      <c r="N19" s="95"/>
      <c r="O19" s="94"/>
      <c r="P19" s="94"/>
      <c r="Q19" s="96"/>
      <c r="R19" s="94"/>
      <c r="S19" s="94"/>
      <c r="T19" s="94"/>
      <c r="U19" s="94"/>
      <c r="V19" s="97"/>
    </row>
    <row r="20" spans="1:22" x14ac:dyDescent="0.2">
      <c r="A20" s="144"/>
      <c r="B20" s="99"/>
      <c r="C20" s="99"/>
      <c r="D20" s="99"/>
      <c r="E20" s="99"/>
      <c r="F20" s="99"/>
      <c r="G20" s="99"/>
      <c r="H20" s="99"/>
      <c r="I20" s="99"/>
      <c r="J20" s="99" t="s">
        <v>327</v>
      </c>
      <c r="K20" s="100">
        <f t="shared" ref="K20:U20" si="0">SUM(K14:K19)</f>
        <v>120000</v>
      </c>
      <c r="L20" s="101">
        <f t="shared" si="0"/>
        <v>0</v>
      </c>
      <c r="M20" s="101">
        <f t="shared" si="0"/>
        <v>0</v>
      </c>
      <c r="N20" s="101">
        <f t="shared" si="0"/>
        <v>0</v>
      </c>
      <c r="O20" s="101">
        <f t="shared" si="0"/>
        <v>0</v>
      </c>
      <c r="P20" s="101">
        <f t="shared" si="0"/>
        <v>0</v>
      </c>
      <c r="Q20" s="101">
        <f t="shared" si="0"/>
        <v>0</v>
      </c>
      <c r="R20" s="101">
        <f t="shared" si="0"/>
        <v>0</v>
      </c>
      <c r="S20" s="101">
        <f t="shared" si="0"/>
        <v>0</v>
      </c>
      <c r="T20" s="101">
        <f t="shared" si="0"/>
        <v>0</v>
      </c>
      <c r="U20" s="101">
        <f t="shared" si="0"/>
        <v>0</v>
      </c>
      <c r="V20" s="101"/>
    </row>
    <row r="24" spans="1:22" x14ac:dyDescent="0.2">
      <c r="K24" s="52">
        <f>+K14/12</f>
        <v>1666.6666666666667</v>
      </c>
    </row>
    <row r="26" spans="1:22" x14ac:dyDescent="0.2">
      <c r="B26" s="52" t="s">
        <v>343</v>
      </c>
      <c r="F26" s="52" t="s">
        <v>410</v>
      </c>
      <c r="L26" s="52" t="s">
        <v>344</v>
      </c>
    </row>
    <row r="27" spans="1:22" x14ac:dyDescent="0.2">
      <c r="A27" s="109"/>
      <c r="B27" s="109" t="s">
        <v>345</v>
      </c>
      <c r="C27" s="109"/>
      <c r="D27" s="109"/>
      <c r="E27" s="109"/>
      <c r="F27" s="109" t="s">
        <v>411</v>
      </c>
      <c r="G27" s="109" t="s">
        <v>346</v>
      </c>
      <c r="H27" s="109" t="s">
        <v>347</v>
      </c>
      <c r="I27" s="109"/>
      <c r="J27" s="109"/>
      <c r="K27" s="109"/>
      <c r="L27" s="109" t="s">
        <v>348</v>
      </c>
      <c r="M27" s="109"/>
      <c r="N27" s="109"/>
      <c r="O27" s="109"/>
      <c r="P27" s="109"/>
      <c r="Q27" s="109"/>
      <c r="R27" s="110"/>
      <c r="S27" s="109"/>
      <c r="T27" s="109"/>
      <c r="U27" s="109"/>
      <c r="V27" s="109"/>
    </row>
    <row r="29" spans="1:22" ht="12.75" hidden="1" customHeight="1" x14ac:dyDescent="0.2"/>
  </sheetData>
  <mergeCells count="24">
    <mergeCell ref="A9:V9"/>
    <mergeCell ref="A11:A13"/>
    <mergeCell ref="B11:B13"/>
    <mergeCell ref="C11:C13"/>
    <mergeCell ref="D11:D13"/>
    <mergeCell ref="E11:E13"/>
    <mergeCell ref="F11:F13"/>
    <mergeCell ref="G11:G13"/>
    <mergeCell ref="H11:H13"/>
    <mergeCell ref="I11:J12"/>
    <mergeCell ref="K11:K13"/>
    <mergeCell ref="L11:R11"/>
    <mergeCell ref="S11:T11"/>
    <mergeCell ref="U11:U13"/>
    <mergeCell ref="V11:V13"/>
    <mergeCell ref="L12:M12"/>
    <mergeCell ref="N12:N13"/>
    <mergeCell ref="O12:P12"/>
    <mergeCell ref="Q12:Q13"/>
    <mergeCell ref="R12:R13"/>
    <mergeCell ref="S12:S13"/>
    <mergeCell ref="T12:T13"/>
    <mergeCell ref="A7:V7"/>
    <mergeCell ref="A8:V8"/>
  </mergeCells>
  <dataValidations count="1">
    <dataValidation allowBlank="1" showInputMessage="1" showErrorMessage="1" promptTitle="Grupo" prompt="Escribalo en Romano I-II-III-IV ó V" sqref="H15"/>
  </dataValidations>
  <pageMargins left="0.7" right="0.7" top="0.75" bottom="0.75" header="0.3" footer="0.3"/>
  <pageSetup scale="8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986"/>
  <sheetViews>
    <sheetView topLeftCell="O1" workbookViewId="0">
      <selection activeCell="X14" sqref="X14"/>
    </sheetView>
  </sheetViews>
  <sheetFormatPr baseColWidth="10" defaultRowHeight="15" x14ac:dyDescent="0.25"/>
  <cols>
    <col min="2" max="2" width="49.7109375" bestFit="1" customWidth="1"/>
    <col min="3" max="3" width="37.140625" customWidth="1"/>
    <col min="5" max="5" width="15.42578125" customWidth="1"/>
    <col min="6" max="6" width="15.5703125" customWidth="1"/>
    <col min="7" max="7" width="14.140625" customWidth="1"/>
    <col min="9" max="9" width="14.42578125" customWidth="1"/>
    <col min="10" max="10" width="14.7109375" customWidth="1"/>
    <col min="11" max="11" width="16.42578125" bestFit="1" customWidth="1"/>
    <col min="12" max="21" width="16.42578125" customWidth="1"/>
    <col min="22" max="22" width="21.7109375" bestFit="1" customWidth="1"/>
  </cols>
  <sheetData>
    <row r="1" spans="1:22" ht="21" x14ac:dyDescent="0.35">
      <c r="A1" s="59" t="s">
        <v>49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</row>
    <row r="2" spans="1:22" ht="15.75" x14ac:dyDescent="0.25">
      <c r="A2" s="60" t="s">
        <v>51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</row>
    <row r="3" spans="1:22" ht="15.75" x14ac:dyDescent="0.25">
      <c r="A3" s="60"/>
      <c r="B3" s="60"/>
      <c r="C3" s="60"/>
      <c r="D3" s="60"/>
      <c r="E3" s="189" t="s">
        <v>205</v>
      </c>
      <c r="F3" s="189"/>
      <c r="G3" s="189"/>
      <c r="H3" s="189"/>
      <c r="I3" s="189"/>
      <c r="J3" s="189"/>
      <c r="K3" s="189"/>
      <c r="L3" s="81"/>
      <c r="M3" s="103"/>
      <c r="N3" s="112"/>
      <c r="O3" s="105"/>
      <c r="P3" s="115"/>
      <c r="Q3" s="121"/>
      <c r="R3" s="124"/>
      <c r="S3" s="126"/>
      <c r="T3" s="136"/>
      <c r="U3" s="138"/>
      <c r="V3" s="60"/>
    </row>
    <row r="4" spans="1:22" x14ac:dyDescent="0.25">
      <c r="A4" s="61" t="s">
        <v>273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</row>
    <row r="6" spans="1:22" x14ac:dyDescent="0.25">
      <c r="A6" t="s">
        <v>254</v>
      </c>
      <c r="H6" t="s">
        <v>206</v>
      </c>
      <c r="I6" t="s">
        <v>397</v>
      </c>
    </row>
    <row r="7" spans="1:22" x14ac:dyDescent="0.25">
      <c r="B7" s="62"/>
    </row>
    <row r="8" spans="1:22" ht="45" x14ac:dyDescent="0.25">
      <c r="A8" s="63" t="s">
        <v>50</v>
      </c>
      <c r="B8" s="63" t="s">
        <v>52</v>
      </c>
      <c r="C8" s="63" t="s">
        <v>207</v>
      </c>
      <c r="D8" s="63" t="s">
        <v>53</v>
      </c>
      <c r="E8" s="63" t="s">
        <v>54</v>
      </c>
      <c r="F8" s="63" t="s">
        <v>208</v>
      </c>
      <c r="G8" s="63" t="s">
        <v>209</v>
      </c>
      <c r="H8" s="63" t="s">
        <v>210</v>
      </c>
      <c r="I8" s="63" t="s">
        <v>211</v>
      </c>
      <c r="J8" s="63" t="s">
        <v>212</v>
      </c>
      <c r="K8" s="63" t="s">
        <v>213</v>
      </c>
      <c r="L8" s="63" t="s">
        <v>335</v>
      </c>
      <c r="M8" s="63" t="s">
        <v>334</v>
      </c>
      <c r="N8" s="63" t="s">
        <v>336</v>
      </c>
      <c r="O8" s="63" t="s">
        <v>349</v>
      </c>
      <c r="P8" s="63" t="s">
        <v>357</v>
      </c>
      <c r="Q8" s="63" t="s">
        <v>370</v>
      </c>
      <c r="R8" s="63" t="s">
        <v>375</v>
      </c>
      <c r="S8" s="63" t="s">
        <v>378</v>
      </c>
      <c r="T8" s="63" t="s">
        <v>391</v>
      </c>
      <c r="U8" s="63" t="s">
        <v>394</v>
      </c>
      <c r="V8" s="63" t="s">
        <v>214</v>
      </c>
    </row>
    <row r="9" spans="1:22" x14ac:dyDescent="0.25">
      <c r="A9" s="19">
        <v>1</v>
      </c>
      <c r="B9" s="64" t="s">
        <v>61</v>
      </c>
      <c r="C9" s="65" t="s">
        <v>62</v>
      </c>
      <c r="D9" s="65" t="s">
        <v>115</v>
      </c>
      <c r="E9" s="66">
        <v>0</v>
      </c>
      <c r="F9" s="66">
        <v>316785</v>
      </c>
      <c r="G9" s="66">
        <v>154965</v>
      </c>
      <c r="H9" s="66"/>
      <c r="I9" s="66">
        <v>0</v>
      </c>
      <c r="J9" s="66"/>
      <c r="K9" s="66">
        <v>0</v>
      </c>
      <c r="L9" s="66"/>
      <c r="M9" s="66">
        <v>0</v>
      </c>
      <c r="N9" s="66"/>
      <c r="O9" s="66"/>
      <c r="P9" s="66"/>
      <c r="Q9" s="66"/>
      <c r="R9" s="66"/>
      <c r="S9" s="66"/>
      <c r="T9" s="66"/>
      <c r="U9" s="66"/>
      <c r="V9" s="67">
        <f>SUM(E9:U9)</f>
        <v>471750</v>
      </c>
    </row>
    <row r="10" spans="1:22" x14ac:dyDescent="0.25">
      <c r="A10" s="19">
        <v>2</v>
      </c>
      <c r="B10" s="64" t="s">
        <v>63</v>
      </c>
      <c r="C10" s="65" t="s">
        <v>64</v>
      </c>
      <c r="D10" s="65" t="s">
        <v>115</v>
      </c>
      <c r="E10" s="68">
        <v>0</v>
      </c>
      <c r="F10" s="68"/>
      <c r="G10" s="68">
        <v>115708.4</v>
      </c>
      <c r="H10" s="66"/>
      <c r="I10" s="66">
        <v>5782</v>
      </c>
      <c r="J10" s="66">
        <f>28062.76-28062.76</f>
        <v>0</v>
      </c>
      <c r="K10" s="66">
        <f>3469.2+6071.1+2428.44+3642.66+2428.44+2428.44+2428.44+4856.88-4856.88+3642.66-3642.66+3642.66-3642.66+7285.32-22896.72+2428.44-2428.44</f>
        <v>7285.3199999999961</v>
      </c>
      <c r="L10" s="66"/>
      <c r="M10" s="66">
        <v>0</v>
      </c>
      <c r="N10" s="66"/>
      <c r="O10" s="66"/>
      <c r="P10" s="66"/>
      <c r="Q10" s="66"/>
      <c r="R10" s="66"/>
      <c r="S10" s="66"/>
      <c r="T10" s="66"/>
      <c r="U10" s="66"/>
      <c r="V10" s="67">
        <f t="shared" ref="V10:V73" si="0">SUM(E10:U10)</f>
        <v>128775.71999999999</v>
      </c>
    </row>
    <row r="11" spans="1:22" x14ac:dyDescent="0.25">
      <c r="A11" s="19">
        <v>3</v>
      </c>
      <c r="B11" s="64" t="s">
        <v>65</v>
      </c>
      <c r="C11" s="65" t="s">
        <v>66</v>
      </c>
      <c r="D11" s="65" t="s">
        <v>115</v>
      </c>
      <c r="E11" s="68">
        <v>0</v>
      </c>
      <c r="F11" s="68">
        <v>91403.98</v>
      </c>
      <c r="G11" s="68">
        <v>43860.6</v>
      </c>
      <c r="H11" s="66"/>
      <c r="I11" s="66">
        <v>0</v>
      </c>
      <c r="J11" s="66"/>
      <c r="K11" s="66">
        <v>0</v>
      </c>
      <c r="L11" s="66"/>
      <c r="M11" s="66">
        <v>0</v>
      </c>
      <c r="N11" s="66"/>
      <c r="O11" s="66"/>
      <c r="P11" s="66"/>
      <c r="Q11" s="66"/>
      <c r="R11" s="66"/>
      <c r="S11" s="66"/>
      <c r="T11" s="66"/>
      <c r="U11" s="66"/>
      <c r="V11" s="67">
        <f t="shared" si="0"/>
        <v>135264.57999999999</v>
      </c>
    </row>
    <row r="12" spans="1:22" x14ac:dyDescent="0.25">
      <c r="A12" s="19">
        <v>4</v>
      </c>
      <c r="B12" s="64" t="s">
        <v>150</v>
      </c>
      <c r="C12" s="65" t="s">
        <v>67</v>
      </c>
      <c r="D12" s="65" t="s">
        <v>115</v>
      </c>
      <c r="E12" s="68">
        <v>42240</v>
      </c>
      <c r="F12" s="68"/>
      <c r="G12" s="68"/>
      <c r="H12" s="66"/>
      <c r="I12" s="66">
        <v>0</v>
      </c>
      <c r="J12" s="66"/>
      <c r="K12" s="66">
        <v>0</v>
      </c>
      <c r="L12" s="66"/>
      <c r="M12" s="66">
        <v>0</v>
      </c>
      <c r="N12" s="66"/>
      <c r="O12" s="66"/>
      <c r="P12" s="66"/>
      <c r="Q12" s="66"/>
      <c r="R12" s="66"/>
      <c r="S12" s="66"/>
      <c r="T12" s="66"/>
      <c r="U12" s="66"/>
      <c r="V12" s="67">
        <f t="shared" si="0"/>
        <v>42240</v>
      </c>
    </row>
    <row r="13" spans="1:22" x14ac:dyDescent="0.25">
      <c r="A13" s="19">
        <v>5</v>
      </c>
      <c r="B13" s="64" t="s">
        <v>68</v>
      </c>
      <c r="C13" s="65" t="s">
        <v>67</v>
      </c>
      <c r="D13" s="65" t="s">
        <v>115</v>
      </c>
      <c r="E13" s="68">
        <v>123786</v>
      </c>
      <c r="F13" s="68"/>
      <c r="G13" s="68"/>
      <c r="H13" s="66"/>
      <c r="I13" s="66">
        <v>0</v>
      </c>
      <c r="J13" s="66"/>
      <c r="K13" s="66">
        <v>0</v>
      </c>
      <c r="L13" s="66"/>
      <c r="M13" s="66">
        <v>0</v>
      </c>
      <c r="N13" s="66"/>
      <c r="O13" s="66"/>
      <c r="P13" s="66"/>
      <c r="Q13" s="66"/>
      <c r="R13" s="66"/>
      <c r="S13" s="66"/>
      <c r="T13" s="66"/>
      <c r="U13" s="66"/>
      <c r="V13" s="67">
        <f t="shared" si="0"/>
        <v>123786</v>
      </c>
    </row>
    <row r="14" spans="1:22" x14ac:dyDescent="0.25">
      <c r="A14" s="19">
        <v>6</v>
      </c>
      <c r="B14" s="64" t="s">
        <v>69</v>
      </c>
      <c r="C14" s="65" t="s">
        <v>70</v>
      </c>
      <c r="D14" s="65" t="s">
        <v>115</v>
      </c>
      <c r="E14" s="68">
        <v>87036.4</v>
      </c>
      <c r="F14" s="68"/>
      <c r="G14" s="68"/>
      <c r="H14" s="66"/>
      <c r="I14" s="66">
        <v>0</v>
      </c>
      <c r="J14" s="66"/>
      <c r="K14" s="66">
        <v>0</v>
      </c>
      <c r="L14" s="66"/>
      <c r="M14" s="66">
        <v>0</v>
      </c>
      <c r="N14" s="66"/>
      <c r="O14" s="66"/>
      <c r="P14" s="66"/>
      <c r="Q14" s="66"/>
      <c r="R14" s="66"/>
      <c r="S14" s="66"/>
      <c r="T14" s="66"/>
      <c r="U14" s="66"/>
      <c r="V14" s="67">
        <f t="shared" si="0"/>
        <v>87036.4</v>
      </c>
    </row>
    <row r="15" spans="1:22" x14ac:dyDescent="0.25">
      <c r="A15" s="19">
        <v>7</v>
      </c>
      <c r="B15" s="64" t="s">
        <v>71</v>
      </c>
      <c r="C15" s="65" t="s">
        <v>72</v>
      </c>
      <c r="D15" s="65" t="s">
        <v>115</v>
      </c>
      <c r="E15" s="68">
        <v>51212</v>
      </c>
      <c r="F15" s="68"/>
      <c r="G15" s="68"/>
      <c r="H15" s="66"/>
      <c r="I15" s="66">
        <v>0</v>
      </c>
      <c r="J15" s="66"/>
      <c r="K15" s="66">
        <v>0</v>
      </c>
      <c r="L15" s="66"/>
      <c r="M15" s="66">
        <v>0</v>
      </c>
      <c r="N15" s="66"/>
      <c r="O15" s="66"/>
      <c r="P15" s="66"/>
      <c r="Q15" s="66"/>
      <c r="R15" s="66"/>
      <c r="S15" s="66"/>
      <c r="T15" s="66"/>
      <c r="U15" s="66"/>
      <c r="V15" s="67">
        <f t="shared" si="0"/>
        <v>51212</v>
      </c>
    </row>
    <row r="16" spans="1:22" x14ac:dyDescent="0.25">
      <c r="A16" s="19">
        <v>8</v>
      </c>
      <c r="B16" s="64" t="s">
        <v>73</v>
      </c>
      <c r="C16" s="65" t="s">
        <v>74</v>
      </c>
      <c r="D16" s="65" t="s">
        <v>115</v>
      </c>
      <c r="E16" s="68">
        <v>625243.25</v>
      </c>
      <c r="F16" s="68"/>
      <c r="G16" s="68"/>
      <c r="H16" s="66"/>
      <c r="I16" s="66">
        <v>0</v>
      </c>
      <c r="J16" s="66"/>
      <c r="K16" s="66">
        <v>0</v>
      </c>
      <c r="L16" s="66"/>
      <c r="M16" s="66">
        <v>0</v>
      </c>
      <c r="N16" s="66"/>
      <c r="O16" s="66"/>
      <c r="P16" s="66"/>
      <c r="Q16" s="66"/>
      <c r="R16" s="66"/>
      <c r="S16" s="66"/>
      <c r="T16" s="66"/>
      <c r="U16" s="66"/>
      <c r="V16" s="67">
        <f t="shared" si="0"/>
        <v>625243.25</v>
      </c>
    </row>
    <row r="17" spans="1:22" x14ac:dyDescent="0.25">
      <c r="A17" s="19">
        <v>9</v>
      </c>
      <c r="B17" s="64" t="s">
        <v>75</v>
      </c>
      <c r="C17" s="65" t="s">
        <v>76</v>
      </c>
      <c r="D17" s="65" t="s">
        <v>115</v>
      </c>
      <c r="E17" s="68">
        <f>7390+25240</f>
        <v>32630</v>
      </c>
      <c r="F17" s="68"/>
      <c r="G17" s="68"/>
      <c r="H17" s="66"/>
      <c r="I17" s="66">
        <v>0</v>
      </c>
      <c r="J17" s="66"/>
      <c r="K17" s="66">
        <v>0</v>
      </c>
      <c r="L17" s="66"/>
      <c r="M17" s="66">
        <v>0</v>
      </c>
      <c r="N17" s="66"/>
      <c r="O17" s="66"/>
      <c r="P17" s="66"/>
      <c r="Q17" s="66"/>
      <c r="R17" s="66"/>
      <c r="S17" s="66"/>
      <c r="T17" s="66"/>
      <c r="U17" s="66"/>
      <c r="V17" s="67">
        <f t="shared" si="0"/>
        <v>32630</v>
      </c>
    </row>
    <row r="18" spans="1:22" x14ac:dyDescent="0.25">
      <c r="A18" s="19">
        <v>10</v>
      </c>
      <c r="B18" s="64" t="s">
        <v>77</v>
      </c>
      <c r="C18" s="65" t="s">
        <v>78</v>
      </c>
      <c r="D18" s="65" t="s">
        <v>115</v>
      </c>
      <c r="E18" s="68">
        <v>45215</v>
      </c>
      <c r="F18" s="68"/>
      <c r="G18" s="68"/>
      <c r="H18" s="66"/>
      <c r="I18" s="66">
        <v>0</v>
      </c>
      <c r="J18" s="66"/>
      <c r="K18" s="66">
        <v>0</v>
      </c>
      <c r="L18" s="66"/>
      <c r="M18" s="66">
        <v>0</v>
      </c>
      <c r="N18" s="66"/>
      <c r="O18" s="66"/>
      <c r="P18" s="66"/>
      <c r="Q18" s="66"/>
      <c r="R18" s="66"/>
      <c r="S18" s="66"/>
      <c r="T18" s="66"/>
      <c r="U18" s="66"/>
      <c r="V18" s="67">
        <f t="shared" si="0"/>
        <v>45215</v>
      </c>
    </row>
    <row r="19" spans="1:22" x14ac:dyDescent="0.25">
      <c r="A19" s="19">
        <v>11</v>
      </c>
      <c r="B19" s="64" t="s">
        <v>79</v>
      </c>
      <c r="C19" s="65" t="s">
        <v>80</v>
      </c>
      <c r="D19" s="65" t="s">
        <v>115</v>
      </c>
      <c r="E19" s="68"/>
      <c r="F19" s="68">
        <v>147968.25</v>
      </c>
      <c r="G19" s="68"/>
      <c r="H19" s="66"/>
      <c r="I19" s="66">
        <v>0</v>
      </c>
      <c r="J19" s="66"/>
      <c r="K19" s="66">
        <v>0</v>
      </c>
      <c r="L19" s="66"/>
      <c r="M19" s="66">
        <v>0</v>
      </c>
      <c r="N19" s="66"/>
      <c r="O19" s="66"/>
      <c r="P19" s="66"/>
      <c r="Q19" s="66"/>
      <c r="R19" s="66"/>
      <c r="S19" s="66"/>
      <c r="T19" s="66"/>
      <c r="U19" s="66"/>
      <c r="V19" s="67">
        <f t="shared" si="0"/>
        <v>147968.25</v>
      </c>
    </row>
    <row r="20" spans="1:22" x14ac:dyDescent="0.25">
      <c r="A20" s="19">
        <v>12</v>
      </c>
      <c r="B20" s="64" t="s">
        <v>81</v>
      </c>
      <c r="C20" s="65" t="s">
        <v>82</v>
      </c>
      <c r="D20" s="65" t="s">
        <v>115</v>
      </c>
      <c r="E20" s="68"/>
      <c r="F20" s="68">
        <v>59883.28</v>
      </c>
      <c r="G20" s="68"/>
      <c r="H20" s="66"/>
      <c r="I20" s="66">
        <v>0</v>
      </c>
      <c r="J20" s="66"/>
      <c r="K20" s="66">
        <v>0</v>
      </c>
      <c r="L20" s="66"/>
      <c r="M20" s="66">
        <v>0</v>
      </c>
      <c r="N20" s="66"/>
      <c r="O20" s="66"/>
      <c r="P20" s="66"/>
      <c r="Q20" s="66"/>
      <c r="R20" s="66"/>
      <c r="S20" s="66"/>
      <c r="T20" s="66"/>
      <c r="U20" s="66"/>
      <c r="V20" s="67">
        <f t="shared" si="0"/>
        <v>59883.28</v>
      </c>
    </row>
    <row r="21" spans="1:22" x14ac:dyDescent="0.25">
      <c r="A21" s="19">
        <v>13</v>
      </c>
      <c r="B21" s="64" t="s">
        <v>83</v>
      </c>
      <c r="C21" s="65" t="s">
        <v>84</v>
      </c>
      <c r="D21" s="65" t="s">
        <v>115</v>
      </c>
      <c r="E21" s="68">
        <v>135016.78</v>
      </c>
      <c r="F21" s="68"/>
      <c r="G21" s="68"/>
      <c r="H21" s="66"/>
      <c r="I21" s="66">
        <v>0</v>
      </c>
      <c r="J21" s="66"/>
      <c r="K21" s="66">
        <v>0</v>
      </c>
      <c r="L21" s="66"/>
      <c r="M21" s="66">
        <v>0</v>
      </c>
      <c r="N21" s="66"/>
      <c r="O21" s="66"/>
      <c r="P21" s="66"/>
      <c r="Q21" s="66"/>
      <c r="R21" s="66"/>
      <c r="S21" s="66"/>
      <c r="T21" s="66"/>
      <c r="U21" s="66"/>
      <c r="V21" s="67">
        <f t="shared" si="0"/>
        <v>135016.78</v>
      </c>
    </row>
    <row r="22" spans="1:22" x14ac:dyDescent="0.25">
      <c r="A22" s="19">
        <v>14</v>
      </c>
      <c r="B22" s="64" t="s">
        <v>85</v>
      </c>
      <c r="C22" s="65" t="s">
        <v>86</v>
      </c>
      <c r="D22" s="65" t="s">
        <v>115</v>
      </c>
      <c r="E22" s="68">
        <v>1400</v>
      </c>
      <c r="F22" s="68"/>
      <c r="G22" s="68"/>
      <c r="H22" s="66"/>
      <c r="I22" s="66">
        <v>0</v>
      </c>
      <c r="J22" s="66"/>
      <c r="K22" s="66">
        <v>0</v>
      </c>
      <c r="L22" s="66"/>
      <c r="M22" s="66">
        <v>0</v>
      </c>
      <c r="N22" s="66"/>
      <c r="O22" s="66"/>
      <c r="P22" s="66"/>
      <c r="Q22" s="66"/>
      <c r="R22" s="66"/>
      <c r="S22" s="66"/>
      <c r="T22" s="66"/>
      <c r="U22" s="66"/>
      <c r="V22" s="67">
        <f t="shared" si="0"/>
        <v>1400</v>
      </c>
    </row>
    <row r="23" spans="1:22" x14ac:dyDescent="0.25">
      <c r="A23" s="19">
        <v>15</v>
      </c>
      <c r="B23" s="64" t="s">
        <v>87</v>
      </c>
      <c r="C23" s="65" t="s">
        <v>88</v>
      </c>
      <c r="D23" s="65" t="s">
        <v>115</v>
      </c>
      <c r="E23" s="68"/>
      <c r="F23" s="68">
        <v>44000</v>
      </c>
      <c r="G23" s="68"/>
      <c r="H23" s="66"/>
      <c r="I23" s="66">
        <v>0</v>
      </c>
      <c r="J23" s="66"/>
      <c r="K23" s="66">
        <v>0</v>
      </c>
      <c r="L23" s="66"/>
      <c r="M23" s="66">
        <v>0</v>
      </c>
      <c r="N23" s="66"/>
      <c r="O23" s="66"/>
      <c r="P23" s="66"/>
      <c r="Q23" s="66"/>
      <c r="R23" s="66"/>
      <c r="S23" s="66"/>
      <c r="T23" s="66"/>
      <c r="U23" s="66"/>
      <c r="V23" s="67">
        <f t="shared" si="0"/>
        <v>44000</v>
      </c>
    </row>
    <row r="24" spans="1:22" x14ac:dyDescent="0.25">
      <c r="A24" s="19">
        <v>16</v>
      </c>
      <c r="B24" s="64" t="s">
        <v>89</v>
      </c>
      <c r="C24" s="65" t="s">
        <v>90</v>
      </c>
      <c r="D24" s="65" t="s">
        <v>115</v>
      </c>
      <c r="E24" s="68"/>
      <c r="F24" s="68"/>
      <c r="G24" s="68">
        <v>22840</v>
      </c>
      <c r="H24" s="66"/>
      <c r="I24" s="66">
        <v>0</v>
      </c>
      <c r="J24" s="66"/>
      <c r="K24" s="66">
        <v>0</v>
      </c>
      <c r="L24" s="66"/>
      <c r="M24" s="66">
        <v>0</v>
      </c>
      <c r="N24" s="66"/>
      <c r="O24" s="66"/>
      <c r="P24" s="66"/>
      <c r="Q24" s="66"/>
      <c r="R24" s="66"/>
      <c r="S24" s="66"/>
      <c r="T24" s="66"/>
      <c r="U24" s="66"/>
      <c r="V24" s="67">
        <f t="shared" si="0"/>
        <v>22840</v>
      </c>
    </row>
    <row r="25" spans="1:22" x14ac:dyDescent="0.25">
      <c r="A25" s="19">
        <v>17</v>
      </c>
      <c r="B25" s="64" t="s">
        <v>91</v>
      </c>
      <c r="C25" s="65" t="s">
        <v>92</v>
      </c>
      <c r="D25" s="65" t="s">
        <v>115</v>
      </c>
      <c r="E25" s="68"/>
      <c r="F25" s="68">
        <v>5664</v>
      </c>
      <c r="G25" s="68"/>
      <c r="H25" s="66"/>
      <c r="I25" s="66">
        <v>0</v>
      </c>
      <c r="J25" s="66"/>
      <c r="K25" s="66">
        <v>0</v>
      </c>
      <c r="L25" s="66"/>
      <c r="M25" s="66">
        <v>0</v>
      </c>
      <c r="N25" s="66"/>
      <c r="O25" s="66"/>
      <c r="P25" s="66"/>
      <c r="Q25" s="66"/>
      <c r="R25" s="66"/>
      <c r="S25" s="66"/>
      <c r="T25" s="66"/>
      <c r="U25" s="66"/>
      <c r="V25" s="67">
        <f t="shared" si="0"/>
        <v>5664</v>
      </c>
    </row>
    <row r="26" spans="1:22" x14ac:dyDescent="0.25">
      <c r="A26" s="19">
        <v>18</v>
      </c>
      <c r="B26" s="64" t="s">
        <v>93</v>
      </c>
      <c r="C26" s="65" t="s">
        <v>78</v>
      </c>
      <c r="D26" s="65" t="s">
        <v>115</v>
      </c>
      <c r="E26" s="68"/>
      <c r="F26" s="68">
        <v>120200</v>
      </c>
      <c r="G26" s="68"/>
      <c r="H26" s="66"/>
      <c r="I26" s="66">
        <v>0</v>
      </c>
      <c r="J26" s="66"/>
      <c r="K26" s="66">
        <v>0</v>
      </c>
      <c r="L26" s="66"/>
      <c r="M26" s="66">
        <v>0</v>
      </c>
      <c r="N26" s="66"/>
      <c r="O26" s="66"/>
      <c r="P26" s="66"/>
      <c r="Q26" s="66"/>
      <c r="R26" s="66"/>
      <c r="S26" s="66"/>
      <c r="T26" s="66"/>
      <c r="U26" s="66"/>
      <c r="V26" s="67">
        <f t="shared" si="0"/>
        <v>120200</v>
      </c>
    </row>
    <row r="27" spans="1:22" x14ac:dyDescent="0.25">
      <c r="A27" s="19">
        <v>19</v>
      </c>
      <c r="B27" s="64" t="s">
        <v>94</v>
      </c>
      <c r="C27" s="65" t="s">
        <v>78</v>
      </c>
      <c r="D27" s="65" t="s">
        <v>115</v>
      </c>
      <c r="E27" s="68">
        <v>53450</v>
      </c>
      <c r="F27" s="68">
        <v>2080</v>
      </c>
      <c r="G27" s="68"/>
      <c r="H27" s="66"/>
      <c r="I27" s="66">
        <v>0</v>
      </c>
      <c r="J27" s="66"/>
      <c r="K27" s="66">
        <v>0</v>
      </c>
      <c r="L27" s="66"/>
      <c r="M27" s="66">
        <v>0</v>
      </c>
      <c r="N27" s="66"/>
      <c r="O27" s="66"/>
      <c r="P27" s="66"/>
      <c r="Q27" s="66"/>
      <c r="R27" s="66"/>
      <c r="S27" s="66"/>
      <c r="T27" s="66"/>
      <c r="U27" s="66"/>
      <c r="V27" s="67">
        <f t="shared" si="0"/>
        <v>55530</v>
      </c>
    </row>
    <row r="28" spans="1:22" x14ac:dyDescent="0.25">
      <c r="A28" s="19">
        <v>20</v>
      </c>
      <c r="B28" s="64" t="s">
        <v>95</v>
      </c>
      <c r="C28" s="65" t="s">
        <v>96</v>
      </c>
      <c r="D28" s="65" t="s">
        <v>115</v>
      </c>
      <c r="E28" s="68"/>
      <c r="F28" s="68"/>
      <c r="G28" s="68"/>
      <c r="H28" s="66"/>
      <c r="I28" s="66">
        <v>0</v>
      </c>
      <c r="J28" s="66"/>
      <c r="K28" s="66">
        <v>0</v>
      </c>
      <c r="L28" s="66"/>
      <c r="M28" s="66">
        <v>0</v>
      </c>
      <c r="N28" s="66"/>
      <c r="O28" s="66"/>
      <c r="P28" s="66"/>
      <c r="Q28" s="66"/>
      <c r="R28" s="66"/>
      <c r="S28" s="66"/>
      <c r="T28" s="66"/>
      <c r="U28" s="66"/>
      <c r="V28" s="67">
        <f t="shared" si="0"/>
        <v>0</v>
      </c>
    </row>
    <row r="29" spans="1:22" x14ac:dyDescent="0.25">
      <c r="A29" s="19">
        <v>21</v>
      </c>
      <c r="B29" s="64" t="s">
        <v>97</v>
      </c>
      <c r="C29" s="65" t="s">
        <v>64</v>
      </c>
      <c r="D29" s="65" t="s">
        <v>115</v>
      </c>
      <c r="E29" s="68"/>
      <c r="F29" s="68"/>
      <c r="G29" s="68"/>
      <c r="H29" s="66"/>
      <c r="I29" s="66">
        <f>91040.43+19588.27</f>
        <v>110628.7</v>
      </c>
      <c r="J29" s="66">
        <f>2247289.8-353624.33-251744.98+44221.97+61587.4-205291.34-61587.4-61587.4-61587.4-44221.97-64751.1-61587.4+294404.64+41058.27-312155.27-65079.68+61587.4-61587.4+65805.67-65805.67-42268.62-61726.17-42268.62-85655.07</f>
        <v>913425.32999999961</v>
      </c>
      <c r="K29" s="66">
        <f>617182.89-82301.56+82301.56+41150.78-41150.78+82301.56-82301.56+61726.17+41150.78-281269.62+41150.78+84537.23+226329.29-226329.29+83419.4+41150.78+41150.78+61726.17-65805.67+41150.78-41150.78+61726.17+65079.68-65079.68+82301.56-66197.52+41150.78-41150.78+42268.62-42268.62+89899.58+41150.78-41150.78+82301.58+41150.78-268597.91+102876.95+61726.17+82301.56+41150.78+41150.78-41150.78+61726.17+61726.17-61726.17+103994.79+82301.56+46739.97+62844.01+44504.29+41150.78-41150.78+61726.17+42268.62+84537.23+43386.45+255832.33+65552.3+65552.3+43701.53+115275.32+87403.07-625086.57-61726.17-82301.56</f>
        <v>1534991.2000000002</v>
      </c>
      <c r="L29" s="66"/>
      <c r="M29" s="66">
        <v>0</v>
      </c>
      <c r="N29" s="66"/>
      <c r="O29" s="66"/>
      <c r="P29" s="66">
        <v>0</v>
      </c>
      <c r="Q29" s="66">
        <f>24991.1+21850.77+21850.77</f>
        <v>68692.639999999999</v>
      </c>
      <c r="R29" s="66">
        <f>25463.65+21850.77+23055.07</f>
        <v>70369.489999999991</v>
      </c>
      <c r="S29" s="66">
        <f>21850.77+21850.77+21850.77</f>
        <v>65552.31</v>
      </c>
      <c r="T29" s="66">
        <f>21850.77+24259.37+6206.42+23055.07+26667.95</f>
        <v>102039.58</v>
      </c>
      <c r="U29" s="66">
        <f>23055.07+24259.37+21850.77</f>
        <v>69165.210000000006</v>
      </c>
      <c r="V29" s="67">
        <f t="shared" si="0"/>
        <v>2934864.4599999995</v>
      </c>
    </row>
    <row r="30" spans="1:22" x14ac:dyDescent="0.25">
      <c r="A30" s="19">
        <v>22</v>
      </c>
      <c r="B30" s="64" t="s">
        <v>116</v>
      </c>
      <c r="C30" s="65" t="s">
        <v>98</v>
      </c>
      <c r="D30" s="65" t="s">
        <v>115</v>
      </c>
      <c r="E30" s="68"/>
      <c r="F30" s="68"/>
      <c r="G30" s="68"/>
      <c r="H30" s="66"/>
      <c r="I30" s="66">
        <v>0</v>
      </c>
      <c r="J30" s="66">
        <v>0</v>
      </c>
      <c r="K30" s="66">
        <f>628903.6+99024.54-91406.34-109221.6+19492.42+30436.69-278120.46+2720.14+245840.56-301828.99+126152.8+115311.03-96686+145369.8+101729.5+3174.2-254058.26-241463.83-145369.8+61789.16+380334.69+4978-266048.69+380334.69-66767.16+204672.49+371273.79+20174+20758.1-699293.18-20174-392031.89+379750.59+204672.49+20758.1-20758.1-204672.49-379750.59+156877.4-156877.4+314044.99-314044.99</f>
        <v>0</v>
      </c>
      <c r="L30" s="66">
        <f>444994.48-149392.62-5062.2-290539.66</f>
        <v>0</v>
      </c>
      <c r="M30" s="66">
        <v>0</v>
      </c>
      <c r="N30" s="66">
        <f>270804.31-270804.31</f>
        <v>0</v>
      </c>
      <c r="O30" s="66">
        <f>84298.1+370526.03-370526.03-84298.1</f>
        <v>0</v>
      </c>
      <c r="P30" s="66">
        <f>65233.92-65233.92+349970.52-349970.52+123014.92-123014.92</f>
        <v>0</v>
      </c>
      <c r="Q30" s="66">
        <f>369045.1+236267.37+168538.74-168538.74-369045.1-236267.37</f>
        <v>0</v>
      </c>
      <c r="R30" s="66">
        <f>418538.73+75000-75000+15000-15000-418538.73</f>
        <v>0</v>
      </c>
      <c r="S30" s="66">
        <f>400098.62-400098.62</f>
        <v>0</v>
      </c>
      <c r="T30" s="66">
        <f>15000+673862.71-673862.71+28814.76</f>
        <v>43814.759999999995</v>
      </c>
      <c r="U30" s="66">
        <f>323125.39+30000+7549</f>
        <v>360674.39</v>
      </c>
      <c r="V30" s="67">
        <f t="shared" si="0"/>
        <v>404489.15</v>
      </c>
    </row>
    <row r="31" spans="1:22" x14ac:dyDescent="0.25">
      <c r="A31" s="19">
        <v>23</v>
      </c>
      <c r="B31" s="64" t="s">
        <v>99</v>
      </c>
      <c r="C31" s="65" t="s">
        <v>59</v>
      </c>
      <c r="D31" s="65" t="s">
        <v>115</v>
      </c>
      <c r="E31" s="68"/>
      <c r="F31" s="68"/>
      <c r="G31" s="68"/>
      <c r="H31" s="66"/>
      <c r="I31" s="66">
        <v>0</v>
      </c>
      <c r="J31" s="66">
        <v>0</v>
      </c>
      <c r="K31" s="66">
        <f>5091+39515.13+113386.26+51661.66-3600-206054.05</f>
        <v>0</v>
      </c>
      <c r="L31" s="66"/>
      <c r="M31" s="66">
        <v>0</v>
      </c>
      <c r="N31" s="66">
        <f>270804.31-270804.31</f>
        <v>0</v>
      </c>
      <c r="O31" s="66"/>
      <c r="P31" s="66"/>
      <c r="Q31" s="66"/>
      <c r="R31" s="66"/>
      <c r="S31" s="66"/>
      <c r="T31" s="66"/>
      <c r="U31" s="66"/>
      <c r="V31" s="67">
        <f t="shared" si="0"/>
        <v>0</v>
      </c>
    </row>
    <row r="32" spans="1:22" x14ac:dyDescent="0.25">
      <c r="A32" s="19">
        <v>24</v>
      </c>
      <c r="B32" s="64" t="s">
        <v>117</v>
      </c>
      <c r="C32" s="65" t="s">
        <v>62</v>
      </c>
      <c r="D32" s="65" t="s">
        <v>115</v>
      </c>
      <c r="E32" s="68"/>
      <c r="F32" s="68"/>
      <c r="G32" s="68"/>
      <c r="H32" s="66"/>
      <c r="I32" s="66">
        <v>0</v>
      </c>
      <c r="J32" s="66"/>
      <c r="K32" s="66">
        <f>33984+28585+70535+8750+33680+43800+25635-211619+32530-7715+36510+39906+81053+32615+22510-215634+80857+34835+41800+34865+34830+3240+81140-170817-192635+749006.18+319195-319195+130806.82-130806.82+77834-77834-749006.18</f>
        <v>3240.0000000001164</v>
      </c>
      <c r="L32" s="66">
        <f>292636.64-116248-176388.64</f>
        <v>0</v>
      </c>
      <c r="M32" s="66">
        <f>48530-48530</f>
        <v>0</v>
      </c>
      <c r="N32" s="66">
        <f>145355+148115.7-148115.7+123975-123975-145355</f>
        <v>0</v>
      </c>
      <c r="O32" s="66"/>
      <c r="P32" s="66">
        <f>85425+186246-85425-186246</f>
        <v>0</v>
      </c>
      <c r="Q32" s="66">
        <f>74460-74460+181559-181559+60315+104422.9-164737.9</f>
        <v>0</v>
      </c>
      <c r="R32" s="66">
        <f>184276.1+136604+54930-375810.1</f>
        <v>0</v>
      </c>
      <c r="S32" s="66"/>
      <c r="T32" s="66">
        <f>161368+212832.9</f>
        <v>374200.9</v>
      </c>
      <c r="U32" s="66">
        <v>57956</v>
      </c>
      <c r="V32" s="67">
        <f t="shared" si="0"/>
        <v>435396.90000000014</v>
      </c>
    </row>
    <row r="33" spans="1:22" x14ac:dyDescent="0.25">
      <c r="A33" s="19">
        <v>25</v>
      </c>
      <c r="B33" s="64" t="s">
        <v>100</v>
      </c>
      <c r="C33" s="65" t="s">
        <v>59</v>
      </c>
      <c r="D33" s="65" t="s">
        <v>115</v>
      </c>
      <c r="E33" s="68"/>
      <c r="F33" s="68"/>
      <c r="G33" s="68"/>
      <c r="H33" s="66"/>
      <c r="I33" s="66">
        <v>0</v>
      </c>
      <c r="J33" s="66">
        <f>109743-72831.6-11250-25661.4</f>
        <v>0</v>
      </c>
      <c r="K33" s="66">
        <f>11250+23125-36911.4+8344-5807.6+77475-77475</f>
        <v>0</v>
      </c>
      <c r="L33" s="66"/>
      <c r="M33" s="66">
        <v>0</v>
      </c>
      <c r="N33" s="66"/>
      <c r="O33" s="66"/>
      <c r="P33" s="66"/>
      <c r="Q33" s="66"/>
      <c r="R33" s="66"/>
      <c r="S33" s="66">
        <f>251577.05-251577.05+17820-17820</f>
        <v>0</v>
      </c>
      <c r="T33" s="66"/>
      <c r="U33" s="66"/>
      <c r="V33" s="67">
        <f t="shared" si="0"/>
        <v>0</v>
      </c>
    </row>
    <row r="34" spans="1:22" x14ac:dyDescent="0.25">
      <c r="A34" s="19">
        <v>26</v>
      </c>
      <c r="B34" s="64" t="s">
        <v>102</v>
      </c>
      <c r="C34" s="65" t="s">
        <v>62</v>
      </c>
      <c r="D34" s="65" t="s">
        <v>115</v>
      </c>
      <c r="E34" s="68"/>
      <c r="F34" s="68"/>
      <c r="G34" s="68"/>
      <c r="H34" s="66"/>
      <c r="I34" s="66">
        <v>0</v>
      </c>
      <c r="J34" s="66">
        <v>0</v>
      </c>
      <c r="K34" s="66">
        <f>13750+21775+20915+15840+17785+17685+5430-107750+12775+22375+12645+21695+21795+12830+33550+12290+22395+11210+9500+24060+40050+23370+14510+23820+15320+8335+23595+15645+2628-187025-152595+15295+23595-57163-31930+150545-150545+215335-215335+256442.5-256442.5+81625-81625</f>
        <v>0</v>
      </c>
      <c r="L34" s="66">
        <f>336805-91065-245740</f>
        <v>0</v>
      </c>
      <c r="M34" s="66">
        <f>133130-133130</f>
        <v>0</v>
      </c>
      <c r="N34" s="66">
        <f>287865-287865</f>
        <v>0</v>
      </c>
      <c r="O34" s="66">
        <f>276820-276820</f>
        <v>0</v>
      </c>
      <c r="P34" s="66">
        <f>220425-220425</f>
        <v>0</v>
      </c>
      <c r="Q34" s="66"/>
      <c r="R34" s="66">
        <f>461870-461870</f>
        <v>0</v>
      </c>
      <c r="S34" s="66">
        <f>244250-244250</f>
        <v>0</v>
      </c>
      <c r="T34" s="66">
        <f>18840-18840+338395-338395</f>
        <v>0</v>
      </c>
      <c r="U34" s="66"/>
      <c r="V34" s="67">
        <f t="shared" si="0"/>
        <v>0</v>
      </c>
    </row>
    <row r="35" spans="1:22" x14ac:dyDescent="0.25">
      <c r="A35" s="19">
        <v>27</v>
      </c>
      <c r="B35" s="64" t="s">
        <v>103</v>
      </c>
      <c r="C35" s="65" t="s">
        <v>118</v>
      </c>
      <c r="D35" s="65" t="s">
        <v>115</v>
      </c>
      <c r="E35" s="68"/>
      <c r="F35" s="68"/>
      <c r="G35" s="68"/>
      <c r="H35" s="66"/>
      <c r="I35" s="66">
        <v>0</v>
      </c>
      <c r="J35" s="66">
        <v>0</v>
      </c>
      <c r="K35" s="66">
        <f>20237+84075+103500-20237-45135+8968-151408+112566+70000-112566+152326.8+116580+57925-338906.8+21500+36000-57925+87320+382025-382025+78750-78750-36000-87320-21500</f>
        <v>0</v>
      </c>
      <c r="L35" s="66"/>
      <c r="M35" s="66">
        <v>0</v>
      </c>
      <c r="N35" s="66"/>
      <c r="O35" s="66">
        <f>77748+23010-23010-77748</f>
        <v>0</v>
      </c>
      <c r="P35" s="66"/>
      <c r="Q35" s="66"/>
      <c r="R35" s="66"/>
      <c r="S35" s="66">
        <f>123500-123500</f>
        <v>0</v>
      </c>
      <c r="T35" s="66"/>
      <c r="U35" s="66">
        <v>18075</v>
      </c>
      <c r="V35" s="67">
        <f t="shared" si="0"/>
        <v>18075</v>
      </c>
    </row>
    <row r="36" spans="1:22" x14ac:dyDescent="0.25">
      <c r="A36" s="19">
        <v>28</v>
      </c>
      <c r="B36" s="64" t="s">
        <v>104</v>
      </c>
      <c r="C36" s="65" t="s">
        <v>101</v>
      </c>
      <c r="D36" s="65" t="s">
        <v>115</v>
      </c>
      <c r="E36" s="68"/>
      <c r="F36" s="68"/>
      <c r="G36" s="68"/>
      <c r="H36" s="66"/>
      <c r="I36" s="66">
        <v>0</v>
      </c>
      <c r="J36" s="66">
        <f>275164.2-178522.2-96642</f>
        <v>0</v>
      </c>
      <c r="K36" s="66">
        <f>82917+17759+117874.5+35962.47+85515.49-82917-117874.5+88350-53721.47-173865.49</f>
        <v>0</v>
      </c>
      <c r="L36" s="66"/>
      <c r="M36" s="66">
        <v>0</v>
      </c>
      <c r="N36" s="66"/>
      <c r="O36" s="66"/>
      <c r="P36" s="66"/>
      <c r="Q36" s="66"/>
      <c r="R36" s="66"/>
      <c r="S36" s="66"/>
      <c r="T36" s="66"/>
      <c r="U36" s="66"/>
      <c r="V36" s="67">
        <f t="shared" si="0"/>
        <v>0</v>
      </c>
    </row>
    <row r="37" spans="1:22" x14ac:dyDescent="0.25">
      <c r="A37" s="19">
        <v>29</v>
      </c>
      <c r="B37" s="64" t="s">
        <v>105</v>
      </c>
      <c r="C37" s="65" t="s">
        <v>59</v>
      </c>
      <c r="D37" s="65" t="s">
        <v>115</v>
      </c>
      <c r="E37" s="68"/>
      <c r="F37" s="68"/>
      <c r="G37" s="68"/>
      <c r="H37" s="66"/>
      <c r="I37" s="66">
        <v>0</v>
      </c>
      <c r="J37" s="66">
        <v>0</v>
      </c>
      <c r="K37" s="66">
        <f>69804-69804+38940+48108+26196+715949-113244-715949</f>
        <v>0</v>
      </c>
      <c r="L37" s="66">
        <f>337425-337425</f>
        <v>0</v>
      </c>
      <c r="M37" s="66">
        <v>0</v>
      </c>
      <c r="N37" s="66"/>
      <c r="O37" s="66"/>
      <c r="P37" s="66">
        <f>30632.8+145000-30632.8-145000</f>
        <v>0</v>
      </c>
      <c r="Q37" s="66"/>
      <c r="R37" s="66">
        <f>21500-21500</f>
        <v>0</v>
      </c>
      <c r="S37" s="66"/>
      <c r="T37" s="66"/>
      <c r="U37" s="66"/>
      <c r="V37" s="67">
        <f t="shared" si="0"/>
        <v>0</v>
      </c>
    </row>
    <row r="38" spans="1:22" x14ac:dyDescent="0.25">
      <c r="A38" s="19">
        <v>30</v>
      </c>
      <c r="B38" s="64" t="s">
        <v>151</v>
      </c>
      <c r="C38" s="65" t="s">
        <v>106</v>
      </c>
      <c r="D38" s="65" t="s">
        <v>115</v>
      </c>
      <c r="E38" s="68"/>
      <c r="F38" s="68"/>
      <c r="G38" s="68"/>
      <c r="H38" s="66"/>
      <c r="I38" s="66">
        <v>0</v>
      </c>
      <c r="J38" s="66">
        <v>0</v>
      </c>
      <c r="K38" s="66">
        <f>34245+37280+48555+33830+9610+44690+16000+45395-153910-115695+101875-101875</f>
        <v>0</v>
      </c>
      <c r="L38" s="66"/>
      <c r="M38" s="66">
        <v>0</v>
      </c>
      <c r="N38" s="66"/>
      <c r="O38" s="66"/>
      <c r="P38" s="66"/>
      <c r="Q38" s="66">
        <f>841865-6175-835690</f>
        <v>0</v>
      </c>
      <c r="R38" s="66"/>
      <c r="S38" s="66"/>
      <c r="T38" s="66"/>
      <c r="U38" s="66"/>
      <c r="V38" s="67">
        <f t="shared" si="0"/>
        <v>0</v>
      </c>
    </row>
    <row r="39" spans="1:22" x14ac:dyDescent="0.25">
      <c r="A39" s="19">
        <v>31</v>
      </c>
      <c r="B39" s="64" t="s">
        <v>108</v>
      </c>
      <c r="C39" s="65" t="s">
        <v>107</v>
      </c>
      <c r="D39" s="65" t="s">
        <v>115</v>
      </c>
      <c r="E39" s="68"/>
      <c r="F39" s="68"/>
      <c r="G39" s="68"/>
      <c r="H39" s="66"/>
      <c r="I39" s="66">
        <v>0</v>
      </c>
      <c r="J39" s="66">
        <v>0</v>
      </c>
      <c r="K39" s="66">
        <f>56498.4-56498.4</f>
        <v>0</v>
      </c>
      <c r="L39" s="66"/>
      <c r="M39" s="66">
        <v>0</v>
      </c>
      <c r="N39" s="66"/>
      <c r="O39" s="66"/>
      <c r="P39" s="66"/>
      <c r="Q39" s="66"/>
      <c r="R39" s="66"/>
      <c r="S39" s="66"/>
      <c r="T39" s="66"/>
      <c r="U39" s="66"/>
      <c r="V39" s="67">
        <f t="shared" si="0"/>
        <v>0</v>
      </c>
    </row>
    <row r="40" spans="1:22" x14ac:dyDescent="0.25">
      <c r="A40" s="19">
        <v>32</v>
      </c>
      <c r="B40" s="64" t="s">
        <v>109</v>
      </c>
      <c r="C40" s="65" t="s">
        <v>121</v>
      </c>
      <c r="D40" s="65" t="s">
        <v>115</v>
      </c>
      <c r="E40" s="68"/>
      <c r="F40" s="68"/>
      <c r="G40" s="68"/>
      <c r="H40" s="66"/>
      <c r="I40" s="66">
        <v>22656</v>
      </c>
      <c r="J40" s="66"/>
      <c r="K40" s="66">
        <v>0</v>
      </c>
      <c r="L40" s="66"/>
      <c r="M40" s="66">
        <v>0</v>
      </c>
      <c r="N40" s="66"/>
      <c r="O40" s="66"/>
      <c r="P40" s="66"/>
      <c r="Q40" s="66"/>
      <c r="R40" s="66"/>
      <c r="S40" s="66"/>
      <c r="T40" s="66"/>
      <c r="U40" s="66"/>
      <c r="V40" s="67">
        <f t="shared" si="0"/>
        <v>22656</v>
      </c>
    </row>
    <row r="41" spans="1:22" x14ac:dyDescent="0.25">
      <c r="A41" s="19">
        <v>33</v>
      </c>
      <c r="B41" s="64" t="s">
        <v>110</v>
      </c>
      <c r="C41" s="65" t="s">
        <v>122</v>
      </c>
      <c r="D41" s="65" t="s">
        <v>115</v>
      </c>
      <c r="E41" s="68"/>
      <c r="F41" s="68"/>
      <c r="G41" s="68"/>
      <c r="H41" s="66"/>
      <c r="I41" s="66">
        <v>0</v>
      </c>
      <c r="J41" s="66">
        <f>202110.4-51660.4-150450</f>
        <v>0</v>
      </c>
      <c r="K41" s="66">
        <f>136880-56640+66080-146320+24780+28320+14160+126496-193756+140538-140538</f>
        <v>0</v>
      </c>
      <c r="L41" s="66">
        <f>245440-245440</f>
        <v>0</v>
      </c>
      <c r="M41" s="66">
        <v>0</v>
      </c>
      <c r="N41" s="66"/>
      <c r="O41" s="66"/>
      <c r="P41" s="66">
        <f>321054.4-321054.4</f>
        <v>0</v>
      </c>
      <c r="Q41" s="66"/>
      <c r="R41" s="66"/>
      <c r="S41" s="66"/>
      <c r="T41" s="66"/>
      <c r="U41" s="66">
        <f>300628.6-300628.6</f>
        <v>0</v>
      </c>
      <c r="V41" s="67">
        <f t="shared" si="0"/>
        <v>0</v>
      </c>
    </row>
    <row r="42" spans="1:22" x14ac:dyDescent="0.25">
      <c r="A42" s="19">
        <v>34</v>
      </c>
      <c r="B42" s="64" t="s">
        <v>111</v>
      </c>
      <c r="C42" s="65" t="s">
        <v>123</v>
      </c>
      <c r="D42" s="65" t="s">
        <v>115</v>
      </c>
      <c r="E42" s="68"/>
      <c r="F42" s="68"/>
      <c r="G42" s="68"/>
      <c r="H42" s="66"/>
      <c r="I42" s="66">
        <v>0</v>
      </c>
      <c r="J42" s="66"/>
      <c r="K42" s="66">
        <f>243500-243500+236100-236100</f>
        <v>0</v>
      </c>
      <c r="L42" s="66">
        <f>162600-162600</f>
        <v>0</v>
      </c>
      <c r="M42" s="66">
        <f>153100-153100</f>
        <v>0</v>
      </c>
      <c r="N42" s="66">
        <f>175350-175350</f>
        <v>0</v>
      </c>
      <c r="O42" s="66">
        <f>197900-197900</f>
        <v>0</v>
      </c>
      <c r="P42" s="66">
        <f>287720-287720</f>
        <v>0</v>
      </c>
      <c r="Q42" s="66">
        <f>189300-189300</f>
        <v>0</v>
      </c>
      <c r="R42" s="66">
        <f>246550-246550</f>
        <v>0</v>
      </c>
      <c r="S42" s="66">
        <f>287000-287000</f>
        <v>0</v>
      </c>
      <c r="T42" s="66">
        <f>406398-406398</f>
        <v>0</v>
      </c>
      <c r="U42" s="66">
        <v>286413</v>
      </c>
      <c r="V42" s="67">
        <f t="shared" si="0"/>
        <v>286413</v>
      </c>
    </row>
    <row r="43" spans="1:22" x14ac:dyDescent="0.25">
      <c r="A43" s="19">
        <v>35</v>
      </c>
      <c r="B43" s="64" t="s">
        <v>119</v>
      </c>
      <c r="C43" s="65" t="s">
        <v>59</v>
      </c>
      <c r="D43" s="65" t="s">
        <v>115</v>
      </c>
      <c r="E43" s="68"/>
      <c r="F43" s="68"/>
      <c r="G43" s="68"/>
      <c r="H43" s="66"/>
      <c r="I43" s="66">
        <v>0</v>
      </c>
      <c r="J43" s="66">
        <f>211700-211700</f>
        <v>0</v>
      </c>
      <c r="K43" s="66">
        <f>511945+95920-302970+73000+14500+19000+12500-208975+62600-95920-73000+146000+6800-108600+28920+84350-28920-146000+109100-109100-6800-84350</f>
        <v>0</v>
      </c>
      <c r="L43" s="66"/>
      <c r="M43" s="66">
        <f>461350-396100-65250</f>
        <v>0</v>
      </c>
      <c r="N43" s="66">
        <f>86000-86000</f>
        <v>0</v>
      </c>
      <c r="O43" s="66"/>
      <c r="P43" s="66">
        <f>180000+20000-180000-20000</f>
        <v>0</v>
      </c>
      <c r="Q43" s="66">
        <f>42000-42000</f>
        <v>0</v>
      </c>
      <c r="R43" s="66">
        <f>127500-127500</f>
        <v>0</v>
      </c>
      <c r="S43" s="66">
        <f>112000-112000</f>
        <v>0</v>
      </c>
      <c r="T43" s="66"/>
      <c r="U43" s="66">
        <v>31500</v>
      </c>
      <c r="V43" s="67">
        <f t="shared" si="0"/>
        <v>31500</v>
      </c>
    </row>
    <row r="44" spans="1:22" x14ac:dyDescent="0.25">
      <c r="A44" s="19">
        <v>36</v>
      </c>
      <c r="B44" s="64" t="s">
        <v>152</v>
      </c>
      <c r="C44" s="65" t="s">
        <v>107</v>
      </c>
      <c r="D44" s="65" t="s">
        <v>115</v>
      </c>
      <c r="E44" s="68"/>
      <c r="F44" s="68"/>
      <c r="G44" s="68"/>
      <c r="H44" s="66"/>
      <c r="I44" s="66">
        <v>0</v>
      </c>
      <c r="J44" s="66">
        <v>0</v>
      </c>
      <c r="K44" s="66">
        <f>228000+24000+21000+50000+25484+17000+22800-165000-223284</f>
        <v>0</v>
      </c>
      <c r="L44" s="66"/>
      <c r="M44" s="66">
        <v>0</v>
      </c>
      <c r="N44" s="66"/>
      <c r="O44" s="66"/>
      <c r="P44" s="66"/>
      <c r="Q44" s="66"/>
      <c r="R44" s="66"/>
      <c r="S44" s="66"/>
      <c r="T44" s="66"/>
      <c r="U44" s="66"/>
      <c r="V44" s="67">
        <f t="shared" si="0"/>
        <v>0</v>
      </c>
    </row>
    <row r="45" spans="1:22" x14ac:dyDescent="0.25">
      <c r="A45" s="19">
        <v>37</v>
      </c>
      <c r="B45" s="64" t="s">
        <v>120</v>
      </c>
      <c r="C45" s="65" t="s">
        <v>107</v>
      </c>
      <c r="D45" s="65" t="s">
        <v>115</v>
      </c>
      <c r="E45" s="68"/>
      <c r="F45" s="68"/>
      <c r="G45" s="68"/>
      <c r="H45" s="66"/>
      <c r="I45" s="66">
        <v>0</v>
      </c>
      <c r="J45" s="66">
        <f>134370.1-132285.1-2085</f>
        <v>0</v>
      </c>
      <c r="K45" s="66">
        <f>23482+23482-46964</f>
        <v>0</v>
      </c>
      <c r="L45" s="66"/>
      <c r="M45" s="66">
        <v>0</v>
      </c>
      <c r="N45" s="66"/>
      <c r="O45" s="66"/>
      <c r="P45" s="66"/>
      <c r="Q45" s="66"/>
      <c r="R45" s="66"/>
      <c r="S45" s="66"/>
      <c r="T45" s="66"/>
      <c r="U45" s="66"/>
      <c r="V45" s="67">
        <f t="shared" si="0"/>
        <v>0</v>
      </c>
    </row>
    <row r="46" spans="1:22" x14ac:dyDescent="0.25">
      <c r="A46" s="19">
        <v>38</v>
      </c>
      <c r="B46" s="64" t="s">
        <v>153</v>
      </c>
      <c r="C46" s="65" t="s">
        <v>182</v>
      </c>
      <c r="D46" s="65" t="s">
        <v>115</v>
      </c>
      <c r="E46" s="68"/>
      <c r="F46" s="68"/>
      <c r="G46" s="68"/>
      <c r="H46" s="66"/>
      <c r="I46" s="66">
        <v>0</v>
      </c>
      <c r="J46" s="66">
        <v>0</v>
      </c>
      <c r="K46" s="66">
        <f>157030.07+49073.9+52769.6+49341.1+44950.48-308214.67+21966.96+75478.41+42681.1-185076.95+19139.6-19139.6</f>
        <v>-2.9103830456733704E-11</v>
      </c>
      <c r="L46" s="66"/>
      <c r="M46" s="66">
        <v>0</v>
      </c>
      <c r="N46" s="66"/>
      <c r="O46" s="66"/>
      <c r="P46" s="66"/>
      <c r="Q46" s="66"/>
      <c r="R46" s="66"/>
      <c r="S46" s="66"/>
      <c r="T46" s="66"/>
      <c r="U46" s="66"/>
      <c r="V46" s="67">
        <f t="shared" si="0"/>
        <v>-2.9103830456733704E-11</v>
      </c>
    </row>
    <row r="47" spans="1:22" x14ac:dyDescent="0.25">
      <c r="A47" s="19">
        <v>39</v>
      </c>
      <c r="B47" s="64" t="s">
        <v>221</v>
      </c>
      <c r="C47" s="65" t="s">
        <v>59</v>
      </c>
      <c r="D47" s="65" t="s">
        <v>115</v>
      </c>
      <c r="E47" s="68"/>
      <c r="F47" s="68"/>
      <c r="G47" s="68"/>
      <c r="H47" s="66"/>
      <c r="I47" s="66">
        <v>0</v>
      </c>
      <c r="J47" s="66">
        <f>448689-150202-291687-6800</f>
        <v>0</v>
      </c>
      <c r="K47" s="66">
        <f>89000+40410+85500+19470+11680+32000+29891+33500-129410+48100-85500-174641</f>
        <v>0</v>
      </c>
      <c r="L47" s="66"/>
      <c r="M47" s="66">
        <v>0</v>
      </c>
      <c r="N47" s="66"/>
      <c r="O47" s="66"/>
      <c r="P47" s="66"/>
      <c r="Q47" s="66"/>
      <c r="R47" s="66"/>
      <c r="S47" s="66"/>
      <c r="T47" s="66"/>
      <c r="U47" s="66"/>
      <c r="V47" s="67">
        <f t="shared" si="0"/>
        <v>0</v>
      </c>
    </row>
    <row r="48" spans="1:22" x14ac:dyDescent="0.25">
      <c r="A48" s="19">
        <v>40</v>
      </c>
      <c r="B48" s="64" t="s">
        <v>202</v>
      </c>
      <c r="C48" s="65" t="s">
        <v>124</v>
      </c>
      <c r="D48" s="65" t="s">
        <v>115</v>
      </c>
      <c r="E48" s="68"/>
      <c r="F48" s="68"/>
      <c r="G48" s="68"/>
      <c r="H48" s="66"/>
      <c r="I48" s="66">
        <f>112587.51-112587.51</f>
        <v>0</v>
      </c>
      <c r="J48" s="66"/>
      <c r="K48" s="66">
        <f>126000+144500.02+31270+18880+17105+21830+7080+160650+96390-17105-144500.02-126000+102660+30680+435000-438170-31270-435000+70000-70000+70000-70000</f>
        <v>0</v>
      </c>
      <c r="L48" s="66">
        <f>70000-70000</f>
        <v>0</v>
      </c>
      <c r="M48" s="66">
        <f>29660+70000-70000-29660</f>
        <v>0</v>
      </c>
      <c r="N48" s="66">
        <f>260500-260500</f>
        <v>0</v>
      </c>
      <c r="O48" s="66">
        <f>70000-70000+70000-70000</f>
        <v>0</v>
      </c>
      <c r="P48" s="66">
        <f>70000-70000</f>
        <v>0</v>
      </c>
      <c r="Q48" s="66">
        <f>70000-70000</f>
        <v>0</v>
      </c>
      <c r="R48" s="66">
        <f>70000-70000</f>
        <v>0</v>
      </c>
      <c r="S48" s="66">
        <f>100000+63000-63000-100000</f>
        <v>0</v>
      </c>
      <c r="T48" s="66">
        <f>100000-100000</f>
        <v>0</v>
      </c>
      <c r="U48" s="66">
        <v>100000</v>
      </c>
      <c r="V48" s="67">
        <f t="shared" si="0"/>
        <v>100000</v>
      </c>
    </row>
    <row r="49" spans="1:22" x14ac:dyDescent="0.25">
      <c r="A49" s="19">
        <v>41</v>
      </c>
      <c r="B49" s="64" t="s">
        <v>125</v>
      </c>
      <c r="C49" s="65" t="s">
        <v>126</v>
      </c>
      <c r="D49" s="65" t="s">
        <v>115</v>
      </c>
      <c r="E49" s="68"/>
      <c r="F49" s="68"/>
      <c r="G49" s="68"/>
      <c r="H49" s="66"/>
      <c r="I49" s="66">
        <v>0</v>
      </c>
      <c r="J49" s="66">
        <v>0</v>
      </c>
      <c r="K49" s="66" t="s">
        <v>136</v>
      </c>
      <c r="L49" s="66"/>
      <c r="M49" s="66">
        <v>0</v>
      </c>
      <c r="N49" s="66"/>
      <c r="O49" s="66"/>
      <c r="P49" s="66"/>
      <c r="Q49" s="66"/>
      <c r="R49" s="66"/>
      <c r="S49" s="66"/>
      <c r="T49" s="66"/>
      <c r="U49" s="66"/>
      <c r="V49" s="67">
        <f t="shared" si="0"/>
        <v>0</v>
      </c>
    </row>
    <row r="50" spans="1:22" x14ac:dyDescent="0.25">
      <c r="A50" s="19">
        <v>42</v>
      </c>
      <c r="B50" s="64" t="s">
        <v>154</v>
      </c>
      <c r="C50" s="65" t="s">
        <v>59</v>
      </c>
      <c r="D50" s="65" t="s">
        <v>115</v>
      </c>
      <c r="E50" s="68"/>
      <c r="F50" s="68"/>
      <c r="G50" s="68"/>
      <c r="H50" s="66"/>
      <c r="I50" s="66">
        <v>0</v>
      </c>
      <c r="J50" s="66">
        <v>0</v>
      </c>
      <c r="K50" s="66">
        <f>258731+12000-113485+11446+8850+37832+47200+18408-168692+111310+13800-237400+178130+108250+201000+39000-178130-108250-240000+130950+16103.64+15286.3-15286.3-16103.64-130950+100150-100150</f>
        <v>0</v>
      </c>
      <c r="L50" s="66">
        <f>126722.9-40259.1-23866.4-40259.1-22338.3</f>
        <v>0</v>
      </c>
      <c r="M50" s="66">
        <v>0</v>
      </c>
      <c r="N50" s="66">
        <f>200300-200300+45142-45142+241144.8-241144.8+50756-50756</f>
        <v>0</v>
      </c>
      <c r="O50" s="66">
        <f>48396-48396</f>
        <v>0</v>
      </c>
      <c r="P50" s="66">
        <f>48396-48396+482289.6-482289.6</f>
        <v>0</v>
      </c>
      <c r="Q50" s="66">
        <f>129882-129882+101225-101225+80033.5-80033.5</f>
        <v>0</v>
      </c>
      <c r="R50" s="66"/>
      <c r="S50" s="66"/>
      <c r="T50" s="66">
        <v>97500</v>
      </c>
      <c r="U50" s="66"/>
      <c r="V50" s="67">
        <f t="shared" si="0"/>
        <v>97500</v>
      </c>
    </row>
    <row r="51" spans="1:22" x14ac:dyDescent="0.25">
      <c r="A51" s="19">
        <v>43</v>
      </c>
      <c r="B51" s="64" t="s">
        <v>127</v>
      </c>
      <c r="C51" s="65" t="s">
        <v>128</v>
      </c>
      <c r="D51" s="65" t="s">
        <v>115</v>
      </c>
      <c r="E51" s="68"/>
      <c r="F51" s="68"/>
      <c r="G51" s="68"/>
      <c r="H51" s="66"/>
      <c r="I51" s="66">
        <v>0</v>
      </c>
      <c r="J51" s="66">
        <f>171163.25-100816.37+65071.81+43773.28-50985.44-128206.53</f>
        <v>0</v>
      </c>
      <c r="K51" s="66">
        <f>115264.29+39276.06-64278.85+13565.28+19229.28+94320.7-39276.06-178100.7</f>
        <v>0</v>
      </c>
      <c r="L51" s="66"/>
      <c r="M51" s="66">
        <v>0</v>
      </c>
      <c r="N51" s="66"/>
      <c r="O51" s="66"/>
      <c r="P51" s="66"/>
      <c r="Q51" s="66"/>
      <c r="R51" s="66"/>
      <c r="S51" s="66"/>
      <c r="T51" s="66"/>
      <c r="U51" s="66"/>
      <c r="V51" s="67">
        <f t="shared" si="0"/>
        <v>0</v>
      </c>
    </row>
    <row r="52" spans="1:22" x14ac:dyDescent="0.25">
      <c r="A52" s="19">
        <v>44</v>
      </c>
      <c r="B52" s="64" t="s">
        <v>129</v>
      </c>
      <c r="C52" s="65" t="s">
        <v>130</v>
      </c>
      <c r="D52" s="65" t="s">
        <v>115</v>
      </c>
      <c r="E52" s="68"/>
      <c r="F52" s="68"/>
      <c r="G52" s="68"/>
      <c r="H52" s="66"/>
      <c r="I52" s="66">
        <v>0</v>
      </c>
      <c r="J52" s="66">
        <v>0</v>
      </c>
      <c r="K52" s="66">
        <f>12885.6-12885.6+396731+224754.74-621485.74+245370.45-245370.45+22886.1-22886.1+403515.8-403515.8+271534.03-271534.03+385443.48-385443.48</f>
        <v>0</v>
      </c>
      <c r="L52" s="66"/>
      <c r="M52" s="66">
        <f>660189.81-397602.18-262587.63</f>
        <v>0</v>
      </c>
      <c r="N52" s="66">
        <f>448893.18-448893.18+262587.64-262587.64</f>
        <v>0</v>
      </c>
      <c r="O52" s="66">
        <f>194546.03-194546.03</f>
        <v>0</v>
      </c>
      <c r="P52" s="66"/>
      <c r="Q52" s="66"/>
      <c r="R52" s="66"/>
      <c r="S52" s="66"/>
      <c r="T52" s="66"/>
      <c r="U52" s="66"/>
      <c r="V52" s="67">
        <f t="shared" si="0"/>
        <v>0</v>
      </c>
    </row>
    <row r="53" spans="1:22" x14ac:dyDescent="0.25">
      <c r="A53" s="19">
        <v>45</v>
      </c>
      <c r="B53" s="64" t="s">
        <v>131</v>
      </c>
      <c r="C53" s="65" t="s">
        <v>132</v>
      </c>
      <c r="D53" s="65" t="s">
        <v>115</v>
      </c>
      <c r="E53" s="68"/>
      <c r="F53" s="68"/>
      <c r="G53" s="68"/>
      <c r="H53" s="66"/>
      <c r="I53" s="66"/>
      <c r="J53" s="66"/>
      <c r="K53" s="66">
        <f>337559.59+67241.53-299770.09+133502.16+50386+44409.9+194587.74+35164+130633.92-563080.83-130633.92+70328+100026.96+488678.78-170354.96-488678.78+67742.84-67742.84+25193</f>
        <v>25193.000000000116</v>
      </c>
      <c r="L53" s="66"/>
      <c r="M53" s="66">
        <f>142308-142308</f>
        <v>0</v>
      </c>
      <c r="N53" s="66">
        <f>659520.24-659520.24</f>
        <v>0</v>
      </c>
      <c r="O53" s="66"/>
      <c r="P53" s="66"/>
      <c r="Q53" s="66"/>
      <c r="R53" s="66"/>
      <c r="S53" s="66">
        <f>234048-234048</f>
        <v>0</v>
      </c>
      <c r="T53" s="66"/>
      <c r="U53" s="66"/>
      <c r="V53" s="67">
        <f t="shared" si="0"/>
        <v>25193.000000000116</v>
      </c>
    </row>
    <row r="54" spans="1:22" x14ac:dyDescent="0.25">
      <c r="A54" s="19">
        <v>46</v>
      </c>
      <c r="B54" s="64" t="s">
        <v>155</v>
      </c>
      <c r="C54" s="65" t="s">
        <v>183</v>
      </c>
      <c r="D54" s="65" t="s">
        <v>115</v>
      </c>
      <c r="E54" s="68"/>
      <c r="F54" s="68"/>
      <c r="G54" s="68"/>
      <c r="H54" s="66"/>
      <c r="I54" s="66"/>
      <c r="J54" s="66">
        <v>0</v>
      </c>
      <c r="K54" s="66">
        <f>82600+210040-82600-210040+223728+92040-92040-223728+38940+141600-141600-38940</f>
        <v>0</v>
      </c>
      <c r="L54" s="66"/>
      <c r="M54" s="66">
        <v>0</v>
      </c>
      <c r="N54" s="66"/>
      <c r="O54" s="66"/>
      <c r="P54" s="66"/>
      <c r="Q54" s="66"/>
      <c r="R54" s="66">
        <f>546340-546340</f>
        <v>0</v>
      </c>
      <c r="S54" s="66">
        <f>853140-853140</f>
        <v>0</v>
      </c>
      <c r="T54" s="66"/>
      <c r="U54" s="66"/>
      <c r="V54" s="67">
        <f t="shared" si="0"/>
        <v>0</v>
      </c>
    </row>
    <row r="55" spans="1:22" x14ac:dyDescent="0.25">
      <c r="A55" s="19">
        <v>47</v>
      </c>
      <c r="B55" s="64" t="s">
        <v>338</v>
      </c>
      <c r="C55" s="65" t="s">
        <v>183</v>
      </c>
      <c r="D55" s="65" t="s">
        <v>115</v>
      </c>
      <c r="E55" s="68"/>
      <c r="F55" s="68"/>
      <c r="G55" s="68"/>
      <c r="H55" s="66"/>
      <c r="I55" s="66"/>
      <c r="J55" s="66">
        <v>0</v>
      </c>
      <c r="K55" s="66">
        <f>295247.45+61644+44958-11375.2+63740.5+19434.6+41772+159536.4-239292+125987.58-214922.75+34338-346730.58+271227.4+68260+113901-113901+280785.4-280785.4+34338-136936-271227.4+113901+7103.6-7103.6-7103.6+18585-18585+43920-14823.75-113901-21992.65</f>
        <v>0</v>
      </c>
      <c r="L55" s="66">
        <f>72950.95-4148.05-14823.75-43920-7103.6-2955.55</f>
        <v>-6.3664629124104977E-12</v>
      </c>
      <c r="M55" s="66">
        <f>62891.8-43920-18971.8</f>
        <v>0</v>
      </c>
      <c r="N55" s="66">
        <f>70888-70888+119888+57596.98-57596.98-119888</f>
        <v>0</v>
      </c>
      <c r="O55" s="66">
        <f>118236+68811.2-118236-68811.2</f>
        <v>0</v>
      </c>
      <c r="P55" s="66">
        <f>118236+62510-118236-62510</f>
        <v>0</v>
      </c>
      <c r="Q55" s="66">
        <f>14443.2-14443.2</f>
        <v>0</v>
      </c>
      <c r="R55" s="66"/>
      <c r="S55" s="66">
        <f>28674+32497.2-28674</f>
        <v>32497.199999999997</v>
      </c>
      <c r="T55" s="66">
        <v>51471.6</v>
      </c>
      <c r="U55" s="66">
        <f>6726+9227.6</f>
        <v>15953.6</v>
      </c>
      <c r="V55" s="67">
        <f t="shared" si="0"/>
        <v>99922.4</v>
      </c>
    </row>
    <row r="56" spans="1:22" x14ac:dyDescent="0.25">
      <c r="A56" s="19">
        <v>48</v>
      </c>
      <c r="B56" s="64" t="s">
        <v>135</v>
      </c>
      <c r="C56" s="65" t="s">
        <v>134</v>
      </c>
      <c r="D56" s="65" t="s">
        <v>115</v>
      </c>
      <c r="E56" s="68"/>
      <c r="F56" s="68"/>
      <c r="G56" s="68"/>
      <c r="H56" s="66"/>
      <c r="I56" s="66"/>
      <c r="J56" s="66">
        <v>0</v>
      </c>
      <c r="K56" s="66">
        <f>576103.8-145178.35+123110-275080.49-278954.96+7700+54321.3-7700-54321.3</f>
        <v>5.8207660913467407E-11</v>
      </c>
      <c r="L56" s="66">
        <f>193732.4-193732.4</f>
        <v>0</v>
      </c>
      <c r="M56" s="66">
        <v>0</v>
      </c>
      <c r="N56" s="66">
        <f>108553.2-108553.2</f>
        <v>0</v>
      </c>
      <c r="O56" s="66"/>
      <c r="P56" s="66"/>
      <c r="Q56" s="66"/>
      <c r="R56" s="66"/>
      <c r="S56" s="66">
        <f>124820.4-124820.4</f>
        <v>0</v>
      </c>
      <c r="T56" s="66"/>
      <c r="U56" s="66"/>
      <c r="V56" s="67">
        <f t="shared" si="0"/>
        <v>5.8207660913467407E-11</v>
      </c>
    </row>
    <row r="57" spans="1:22" x14ac:dyDescent="0.25">
      <c r="A57" s="19">
        <v>49</v>
      </c>
      <c r="B57" s="64" t="s">
        <v>137</v>
      </c>
      <c r="C57" s="65" t="s">
        <v>138</v>
      </c>
      <c r="D57" s="65" t="s">
        <v>115</v>
      </c>
      <c r="E57" s="68"/>
      <c r="F57" s="68"/>
      <c r="G57" s="68"/>
      <c r="H57" s="66"/>
      <c r="I57" s="66"/>
      <c r="J57" s="66"/>
      <c r="K57" s="66">
        <f>91965.45+56630-56630-91965.45</f>
        <v>0</v>
      </c>
      <c r="L57" s="66"/>
      <c r="M57" s="66">
        <v>0</v>
      </c>
      <c r="N57" s="66"/>
      <c r="O57" s="66">
        <f>90440.84-90440.84+181075.95-181075.95</f>
        <v>0</v>
      </c>
      <c r="P57" s="66"/>
      <c r="Q57" s="66"/>
      <c r="R57" s="66"/>
      <c r="S57" s="66">
        <f>74465.01-74465.01</f>
        <v>0</v>
      </c>
      <c r="T57" s="66">
        <v>11030</v>
      </c>
      <c r="U57" s="66">
        <f>35285.01+100000</f>
        <v>135285.01</v>
      </c>
      <c r="V57" s="67">
        <f t="shared" si="0"/>
        <v>146315.01</v>
      </c>
    </row>
    <row r="58" spans="1:22" x14ac:dyDescent="0.25">
      <c r="A58" s="19">
        <v>50</v>
      </c>
      <c r="B58" s="64" t="s">
        <v>139</v>
      </c>
      <c r="C58" s="65" t="s">
        <v>59</v>
      </c>
      <c r="D58" s="65" t="s">
        <v>115</v>
      </c>
      <c r="E58" s="68"/>
      <c r="F58" s="68"/>
      <c r="G58" s="68"/>
      <c r="H58" s="66"/>
      <c r="I58" s="66"/>
      <c r="J58" s="66"/>
      <c r="K58" s="66">
        <f>94151+18000-94151+63513-63513-18000</f>
        <v>0</v>
      </c>
      <c r="L58" s="66"/>
      <c r="M58" s="66">
        <f>196500-196500</f>
        <v>0</v>
      </c>
      <c r="N58" s="66"/>
      <c r="O58" s="66"/>
      <c r="P58" s="66">
        <f>91348-91348</f>
        <v>0</v>
      </c>
      <c r="Q58" s="66"/>
      <c r="R58" s="66"/>
      <c r="S58" s="66"/>
      <c r="T58" s="66"/>
      <c r="U58" s="66"/>
      <c r="V58" s="67">
        <f t="shared" si="0"/>
        <v>0</v>
      </c>
    </row>
    <row r="59" spans="1:22" x14ac:dyDescent="0.25">
      <c r="A59" s="19">
        <v>51</v>
      </c>
      <c r="B59" s="64" t="s">
        <v>140</v>
      </c>
      <c r="C59" s="65" t="s">
        <v>59</v>
      </c>
      <c r="D59" s="65" t="s">
        <v>115</v>
      </c>
      <c r="E59" s="68"/>
      <c r="F59" s="68"/>
      <c r="G59" s="68"/>
      <c r="H59" s="66"/>
      <c r="I59" s="66"/>
      <c r="J59" s="66"/>
      <c r="K59" s="66">
        <f>104500-59800+115600+7500-160300+100000-107500+157500+6000-157500-6000</f>
        <v>0</v>
      </c>
      <c r="L59" s="66">
        <f>60000-60000</f>
        <v>0</v>
      </c>
      <c r="M59" s="66">
        <f>124800-124800</f>
        <v>0</v>
      </c>
      <c r="N59" s="66">
        <f>149000-149000</f>
        <v>0</v>
      </c>
      <c r="O59" s="66"/>
      <c r="P59" s="66">
        <f>30000-30000</f>
        <v>0</v>
      </c>
      <c r="Q59" s="66"/>
      <c r="R59" s="66"/>
      <c r="S59" s="66"/>
      <c r="T59" s="66"/>
      <c r="U59" s="66">
        <f>15000+144500</f>
        <v>159500</v>
      </c>
      <c r="V59" s="67">
        <f t="shared" si="0"/>
        <v>159500</v>
      </c>
    </row>
    <row r="60" spans="1:22" x14ac:dyDescent="0.25">
      <c r="A60" s="19">
        <v>52</v>
      </c>
      <c r="B60" s="64" t="s">
        <v>141</v>
      </c>
      <c r="C60" s="65" t="s">
        <v>142</v>
      </c>
      <c r="D60" s="65" t="s">
        <v>115</v>
      </c>
      <c r="E60" s="68"/>
      <c r="F60" s="68"/>
      <c r="G60" s="68"/>
      <c r="H60" s="66"/>
      <c r="I60" s="66"/>
      <c r="J60" s="66"/>
      <c r="K60" s="66">
        <f>6980+16500+14945+37860-76285+54849.91-54849.91</f>
        <v>0</v>
      </c>
      <c r="L60" s="66"/>
      <c r="M60" s="66">
        <v>0</v>
      </c>
      <c r="N60" s="66"/>
      <c r="O60" s="66"/>
      <c r="P60" s="66"/>
      <c r="Q60" s="66">
        <f>159768.91-159768.91</f>
        <v>0</v>
      </c>
      <c r="R60" s="66"/>
      <c r="S60" s="66"/>
      <c r="T60" s="66"/>
      <c r="U60" s="66"/>
      <c r="V60" s="67">
        <f t="shared" si="0"/>
        <v>0</v>
      </c>
    </row>
    <row r="61" spans="1:22" x14ac:dyDescent="0.25">
      <c r="A61" s="19">
        <v>53</v>
      </c>
      <c r="B61" s="64" t="s">
        <v>143</v>
      </c>
      <c r="C61" s="65" t="s">
        <v>59</v>
      </c>
      <c r="D61" s="65" t="s">
        <v>115</v>
      </c>
      <c r="E61" s="68"/>
      <c r="F61" s="68"/>
      <c r="G61" s="68"/>
      <c r="H61" s="66"/>
      <c r="I61" s="66"/>
      <c r="J61" s="66">
        <f>76853.66-9842-45390.66-21621</f>
        <v>0</v>
      </c>
      <c r="K61" s="66">
        <f>198113.76+21777.98+14940.6-13578.6-64231.77+43952-157021.97+42916.8+21741.3+34722+17559-108610.1+53342+24398.67+65212+16057.99+3628+51642-266561.66</f>
        <v>0</v>
      </c>
      <c r="L61" s="66"/>
      <c r="M61" s="66">
        <v>0</v>
      </c>
      <c r="N61" s="66"/>
      <c r="O61" s="66"/>
      <c r="P61" s="66"/>
      <c r="Q61" s="66"/>
      <c r="R61" s="66"/>
      <c r="S61" s="66"/>
      <c r="T61" s="66"/>
      <c r="U61" s="66"/>
      <c r="V61" s="67">
        <f t="shared" si="0"/>
        <v>0</v>
      </c>
    </row>
    <row r="62" spans="1:22" x14ac:dyDescent="0.25">
      <c r="A62" s="19">
        <v>54</v>
      </c>
      <c r="B62" s="64" t="s">
        <v>144</v>
      </c>
      <c r="C62" s="65" t="s">
        <v>184</v>
      </c>
      <c r="D62" s="65" t="s">
        <v>115</v>
      </c>
      <c r="E62" s="68"/>
      <c r="F62" s="68"/>
      <c r="G62" s="68"/>
      <c r="H62" s="66"/>
      <c r="I62" s="66"/>
      <c r="J62" s="66"/>
      <c r="K62" s="66">
        <f>17464+18408+35382-71254</f>
        <v>0</v>
      </c>
      <c r="L62" s="66"/>
      <c r="M62" s="66">
        <v>0</v>
      </c>
      <c r="N62" s="66"/>
      <c r="O62" s="66"/>
      <c r="P62" s="66"/>
      <c r="Q62" s="66"/>
      <c r="R62" s="66"/>
      <c r="S62" s="66"/>
      <c r="T62" s="66"/>
      <c r="U62" s="66"/>
      <c r="V62" s="67">
        <f t="shared" si="0"/>
        <v>0</v>
      </c>
    </row>
    <row r="63" spans="1:22" x14ac:dyDescent="0.25">
      <c r="A63" s="19">
        <v>55</v>
      </c>
      <c r="B63" s="64" t="s">
        <v>262</v>
      </c>
      <c r="C63" s="65" t="s">
        <v>59</v>
      </c>
      <c r="D63" s="65" t="s">
        <v>115</v>
      </c>
      <c r="E63" s="68"/>
      <c r="F63" s="68"/>
      <c r="G63" s="68"/>
      <c r="H63" s="66"/>
      <c r="I63" s="66"/>
      <c r="J63" s="66">
        <v>0</v>
      </c>
      <c r="K63" s="66">
        <f>15600-15600</f>
        <v>0</v>
      </c>
      <c r="L63" s="66"/>
      <c r="M63" s="66">
        <v>0</v>
      </c>
      <c r="N63" s="66"/>
      <c r="O63" s="66"/>
      <c r="P63" s="66"/>
      <c r="Q63" s="66">
        <f>13711.6-13711.6</f>
        <v>0</v>
      </c>
      <c r="R63" s="66"/>
      <c r="S63" s="66"/>
      <c r="T63" s="66"/>
      <c r="U63" s="66"/>
      <c r="V63" s="67">
        <f t="shared" si="0"/>
        <v>0</v>
      </c>
    </row>
    <row r="64" spans="1:22" x14ac:dyDescent="0.25">
      <c r="A64" s="19">
        <v>56</v>
      </c>
      <c r="B64" s="64" t="s">
        <v>145</v>
      </c>
      <c r="C64" s="65" t="s">
        <v>185</v>
      </c>
      <c r="D64" s="65" t="s">
        <v>115</v>
      </c>
      <c r="E64" s="68"/>
      <c r="F64" s="68"/>
      <c r="G64" s="68"/>
      <c r="H64" s="66"/>
      <c r="I64" s="66"/>
      <c r="J64" s="66"/>
      <c r="K64" s="66">
        <f>29845-29845</f>
        <v>0</v>
      </c>
      <c r="L64" s="66"/>
      <c r="M64" s="66">
        <v>0</v>
      </c>
      <c r="N64" s="66"/>
      <c r="O64" s="66"/>
      <c r="P64" s="66"/>
      <c r="Q64" s="66"/>
      <c r="R64" s="66"/>
      <c r="S64" s="66"/>
      <c r="T64" s="66"/>
      <c r="U64" s="66"/>
      <c r="V64" s="67">
        <f t="shared" si="0"/>
        <v>0</v>
      </c>
    </row>
    <row r="65" spans="1:22" x14ac:dyDescent="0.25">
      <c r="A65" s="19">
        <v>57</v>
      </c>
      <c r="B65" s="64" t="s">
        <v>146</v>
      </c>
      <c r="C65" s="65" t="s">
        <v>186</v>
      </c>
      <c r="D65" s="65" t="s">
        <v>115</v>
      </c>
      <c r="E65" s="68"/>
      <c r="F65" s="68"/>
      <c r="G65" s="68"/>
      <c r="H65" s="66"/>
      <c r="I65" s="66"/>
      <c r="J65" s="66"/>
      <c r="K65" s="66">
        <f>41600+7500-20800+27000+20800+13500+20800+24300-76100+22200+13500+46500-58600+6000+23800+40500+22110+19550-22200-23800-22110+20740-20740-126050</f>
        <v>0</v>
      </c>
      <c r="L65" s="66">
        <f>23470-23470</f>
        <v>0</v>
      </c>
      <c r="M65" s="66">
        <f>20505-20505</f>
        <v>0</v>
      </c>
      <c r="N65" s="66"/>
      <c r="O65" s="66">
        <f>20825-20825</f>
        <v>0</v>
      </c>
      <c r="P65" s="66">
        <f>26050-26050</f>
        <v>0</v>
      </c>
      <c r="Q65" s="66">
        <f>18000+19990-18000-19990</f>
        <v>0</v>
      </c>
      <c r="R65" s="66">
        <f>17810-17810</f>
        <v>0</v>
      </c>
      <c r="S65" s="66">
        <f>23050+51000-23050-51000</f>
        <v>0</v>
      </c>
      <c r="T65" s="66">
        <v>22140</v>
      </c>
      <c r="U65" s="66">
        <f>22850+7500</f>
        <v>30350</v>
      </c>
      <c r="V65" s="67">
        <f t="shared" si="0"/>
        <v>52490</v>
      </c>
    </row>
    <row r="66" spans="1:22" x14ac:dyDescent="0.25">
      <c r="A66" s="19">
        <v>58</v>
      </c>
      <c r="B66" s="64" t="s">
        <v>156</v>
      </c>
      <c r="C66" s="65" t="s">
        <v>59</v>
      </c>
      <c r="D66" s="65" t="s">
        <v>115</v>
      </c>
      <c r="E66" s="68"/>
      <c r="F66" s="68"/>
      <c r="G66" s="68"/>
      <c r="H66" s="66"/>
      <c r="I66" s="66"/>
      <c r="J66" s="66"/>
      <c r="K66" s="66">
        <f>120928+64835-185763+116756-116756+122723+48448-171171</f>
        <v>0</v>
      </c>
      <c r="L66" s="66"/>
      <c r="M66" s="66">
        <v>0</v>
      </c>
      <c r="N66" s="66"/>
      <c r="O66" s="66"/>
      <c r="P66" s="66">
        <v>6960</v>
      </c>
      <c r="Q66" s="66"/>
      <c r="R66" s="66"/>
      <c r="S66" s="66"/>
      <c r="T66" s="66"/>
      <c r="U66" s="66"/>
      <c r="V66" s="67">
        <f t="shared" si="0"/>
        <v>6960</v>
      </c>
    </row>
    <row r="67" spans="1:22" x14ac:dyDescent="0.25">
      <c r="A67" s="19">
        <v>59</v>
      </c>
      <c r="B67" s="64" t="s">
        <v>157</v>
      </c>
      <c r="C67" s="65" t="s">
        <v>173</v>
      </c>
      <c r="D67" s="65" t="s">
        <v>115</v>
      </c>
      <c r="E67" s="68"/>
      <c r="F67" s="68"/>
      <c r="G67" s="68"/>
      <c r="H67" s="66"/>
      <c r="I67" s="66">
        <v>0</v>
      </c>
      <c r="J67" s="66">
        <v>0</v>
      </c>
      <c r="K67" s="66">
        <f>17392.01-17392.01+93887.63-93887.63</f>
        <v>0</v>
      </c>
      <c r="L67" s="66"/>
      <c r="M67" s="66">
        <v>0</v>
      </c>
      <c r="N67" s="66">
        <f>343329.79-343329.79</f>
        <v>0</v>
      </c>
      <c r="O67" s="66"/>
      <c r="P67" s="66"/>
      <c r="Q67" s="66"/>
      <c r="R67" s="66"/>
      <c r="S67" s="66"/>
      <c r="T67" s="66"/>
      <c r="U67" s="66"/>
      <c r="V67" s="67">
        <f t="shared" si="0"/>
        <v>0</v>
      </c>
    </row>
    <row r="68" spans="1:22" x14ac:dyDescent="0.25">
      <c r="A68" s="19">
        <v>60</v>
      </c>
      <c r="B68" s="64" t="s">
        <v>158</v>
      </c>
      <c r="C68" s="65" t="s">
        <v>187</v>
      </c>
      <c r="D68" s="65" t="s">
        <v>115</v>
      </c>
      <c r="E68" s="68"/>
      <c r="F68" s="68"/>
      <c r="G68" s="68"/>
      <c r="H68" s="66"/>
      <c r="I68" s="66">
        <v>0</v>
      </c>
      <c r="J68" s="66"/>
      <c r="K68" s="66">
        <v>0</v>
      </c>
      <c r="L68" s="66"/>
      <c r="M68" s="66">
        <v>0</v>
      </c>
      <c r="N68" s="66"/>
      <c r="O68" s="66"/>
      <c r="P68" s="66"/>
      <c r="Q68" s="66"/>
      <c r="R68" s="66"/>
      <c r="S68" s="66"/>
      <c r="T68" s="66"/>
      <c r="U68" s="66"/>
      <c r="V68" s="67">
        <f t="shared" si="0"/>
        <v>0</v>
      </c>
    </row>
    <row r="69" spans="1:22" x14ac:dyDescent="0.25">
      <c r="A69" s="19">
        <v>61</v>
      </c>
      <c r="B69" s="64" t="s">
        <v>159</v>
      </c>
      <c r="C69" s="65" t="s">
        <v>174</v>
      </c>
      <c r="D69" s="65" t="s">
        <v>115</v>
      </c>
      <c r="E69" s="68"/>
      <c r="F69" s="68"/>
      <c r="G69" s="68"/>
      <c r="H69" s="66"/>
      <c r="I69" s="66">
        <v>0</v>
      </c>
      <c r="J69" s="66"/>
      <c r="K69" s="66">
        <v>0</v>
      </c>
      <c r="L69" s="66"/>
      <c r="M69" s="66">
        <v>0</v>
      </c>
      <c r="N69" s="66"/>
      <c r="O69" s="66"/>
      <c r="P69" s="66"/>
      <c r="Q69" s="66"/>
      <c r="R69" s="66"/>
      <c r="S69" s="66"/>
      <c r="T69" s="66"/>
      <c r="U69" s="66"/>
      <c r="V69" s="67">
        <f t="shared" si="0"/>
        <v>0</v>
      </c>
    </row>
    <row r="70" spans="1:22" x14ac:dyDescent="0.25">
      <c r="A70" s="19">
        <v>62</v>
      </c>
      <c r="B70" s="64" t="s">
        <v>160</v>
      </c>
      <c r="C70" s="65" t="s">
        <v>188</v>
      </c>
      <c r="D70" s="65" t="s">
        <v>115</v>
      </c>
      <c r="E70" s="68"/>
      <c r="F70" s="68"/>
      <c r="G70" s="68"/>
      <c r="H70" s="66"/>
      <c r="I70" s="66">
        <v>0</v>
      </c>
      <c r="J70" s="66"/>
      <c r="K70" s="66">
        <f>17000-17000+103500+47000+12500+37500-103500+62500+25000-97000+52000-62500-25000-52000+65000-65000</f>
        <v>0</v>
      </c>
      <c r="L70" s="66"/>
      <c r="M70" s="66">
        <f>84000-78000+60000-66000</f>
        <v>0</v>
      </c>
      <c r="N70" s="66"/>
      <c r="O70" s="66">
        <f>39000+52000-39000-52000</f>
        <v>0</v>
      </c>
      <c r="P70" s="66"/>
      <c r="Q70" s="66">
        <f>51000-51000</f>
        <v>0</v>
      </c>
      <c r="R70" s="66">
        <f>13000-13000</f>
        <v>0</v>
      </c>
      <c r="S70" s="66">
        <f>39000-39000</f>
        <v>0</v>
      </c>
      <c r="T70" s="66">
        <v>26000</v>
      </c>
      <c r="U70" s="66"/>
      <c r="V70" s="67">
        <f t="shared" si="0"/>
        <v>26000</v>
      </c>
    </row>
    <row r="71" spans="1:22" x14ac:dyDescent="0.25">
      <c r="A71" s="19">
        <v>63</v>
      </c>
      <c r="B71" s="64" t="s">
        <v>161</v>
      </c>
      <c r="C71" s="65" t="s">
        <v>171</v>
      </c>
      <c r="D71" s="65" t="s">
        <v>115</v>
      </c>
      <c r="E71" s="68"/>
      <c r="F71" s="68"/>
      <c r="G71" s="68"/>
      <c r="H71" s="66"/>
      <c r="I71" s="66">
        <v>0</v>
      </c>
      <c r="J71" s="66">
        <v>0</v>
      </c>
      <c r="K71" s="66">
        <f>5000+3500-8500+6500-6500</f>
        <v>0</v>
      </c>
      <c r="L71" s="66"/>
      <c r="M71" s="66">
        <v>0</v>
      </c>
      <c r="N71" s="66"/>
      <c r="O71" s="66">
        <f>4400-4400</f>
        <v>0</v>
      </c>
      <c r="P71" s="66"/>
      <c r="Q71" s="66"/>
      <c r="R71" s="66">
        <f>4000-4000</f>
        <v>0</v>
      </c>
      <c r="S71" s="66"/>
      <c r="T71" s="66"/>
      <c r="U71" s="66"/>
      <c r="V71" s="67">
        <f t="shared" si="0"/>
        <v>0</v>
      </c>
    </row>
    <row r="72" spans="1:22" x14ac:dyDescent="0.25">
      <c r="A72" s="19">
        <v>64</v>
      </c>
      <c r="B72" s="64" t="s">
        <v>133</v>
      </c>
      <c r="C72" s="65" t="s">
        <v>172</v>
      </c>
      <c r="D72" s="65" t="s">
        <v>115</v>
      </c>
      <c r="E72" s="68"/>
      <c r="F72" s="68"/>
      <c r="G72" s="68"/>
      <c r="H72" s="66"/>
      <c r="I72" s="66">
        <v>0</v>
      </c>
      <c r="J72" s="66"/>
      <c r="K72" s="69">
        <f>22438+6571-10532+5002+2665+4400-14277+2100+4265+4560-6865+2665+6824+2378-2378-5002+2337+2100-6602+4601-9001+2100-6865-13484</f>
        <v>0</v>
      </c>
      <c r="L72" s="69"/>
      <c r="M72" s="69">
        <v>0</v>
      </c>
      <c r="N72" s="66"/>
      <c r="O72" s="66">
        <f>14400-14400</f>
        <v>0</v>
      </c>
      <c r="P72" s="66">
        <f>14400-14400</f>
        <v>0</v>
      </c>
      <c r="Q72" s="66"/>
      <c r="R72" s="66">
        <f>10500-10500</f>
        <v>0</v>
      </c>
      <c r="S72" s="66"/>
      <c r="T72" s="66"/>
      <c r="U72" s="66"/>
      <c r="V72" s="67">
        <f t="shared" si="0"/>
        <v>0</v>
      </c>
    </row>
    <row r="73" spans="1:22" x14ac:dyDescent="0.25">
      <c r="A73" s="19">
        <v>65</v>
      </c>
      <c r="B73" s="64" t="s">
        <v>147</v>
      </c>
      <c r="C73" s="65" t="s">
        <v>148</v>
      </c>
      <c r="D73" s="65" t="s">
        <v>115</v>
      </c>
      <c r="E73" s="68"/>
      <c r="F73" s="68"/>
      <c r="G73" s="68"/>
      <c r="H73" s="66"/>
      <c r="I73" s="66">
        <v>0</v>
      </c>
      <c r="J73" s="66">
        <v>0</v>
      </c>
      <c r="K73" s="66">
        <f>18000-6000+6000+6000+6000+6000-18000+6000+6000-18000+6000+6000-6000-6000-6000-6000</f>
        <v>0</v>
      </c>
      <c r="L73" s="66">
        <f>6000-6000</f>
        <v>0</v>
      </c>
      <c r="M73" s="66">
        <f>6000-6000</f>
        <v>0</v>
      </c>
      <c r="N73" s="66">
        <f>6000-6000</f>
        <v>0</v>
      </c>
      <c r="O73" s="66">
        <f>6000-6000</f>
        <v>0</v>
      </c>
      <c r="P73" s="66">
        <f>6000-6000</f>
        <v>0</v>
      </c>
      <c r="Q73" s="66"/>
      <c r="R73" s="66">
        <f>6000-6000</f>
        <v>0</v>
      </c>
      <c r="S73" s="66">
        <f>6000-6000</f>
        <v>0</v>
      </c>
      <c r="T73" s="66"/>
      <c r="U73" s="66"/>
      <c r="V73" s="67">
        <f t="shared" si="0"/>
        <v>0</v>
      </c>
    </row>
    <row r="74" spans="1:22" x14ac:dyDescent="0.25">
      <c r="A74" s="19">
        <v>66</v>
      </c>
      <c r="B74" s="64" t="s">
        <v>162</v>
      </c>
      <c r="C74" s="65" t="s">
        <v>189</v>
      </c>
      <c r="D74" s="65" t="s">
        <v>115</v>
      </c>
      <c r="E74" s="68"/>
      <c r="F74" s="68"/>
      <c r="G74" s="68"/>
      <c r="H74" s="66"/>
      <c r="I74" s="66">
        <v>0</v>
      </c>
      <c r="J74" s="66">
        <v>0</v>
      </c>
      <c r="K74" s="66">
        <f>53060.03-53060.03+47628.4+42076.98-47628.4-42076.98+35986.54-35986.54</f>
        <v>0</v>
      </c>
      <c r="L74" s="66">
        <f>48893.26-48893.26</f>
        <v>0</v>
      </c>
      <c r="M74" s="66">
        <v>0</v>
      </c>
      <c r="N74" s="66">
        <f>28520-28520</f>
        <v>0</v>
      </c>
      <c r="O74" s="66"/>
      <c r="P74" s="66">
        <f>43212.08-43212.08</f>
        <v>0</v>
      </c>
      <c r="Q74" s="66"/>
      <c r="R74" s="66">
        <f>41426.5-41426.5</f>
        <v>0</v>
      </c>
      <c r="S74" s="66"/>
      <c r="T74" s="66">
        <v>46574.080000000002</v>
      </c>
      <c r="U74" s="66"/>
      <c r="V74" s="67">
        <f t="shared" ref="V74:V137" si="1">SUM(E74:U74)</f>
        <v>46574.080000000002</v>
      </c>
    </row>
    <row r="75" spans="1:22" x14ac:dyDescent="0.25">
      <c r="A75" s="19">
        <v>67</v>
      </c>
      <c r="B75" s="64" t="s">
        <v>17</v>
      </c>
      <c r="C75" s="65" t="s">
        <v>17</v>
      </c>
      <c r="D75" s="65" t="s">
        <v>115</v>
      </c>
      <c r="E75" s="68"/>
      <c r="F75" s="68"/>
      <c r="G75" s="68"/>
      <c r="H75" s="66"/>
      <c r="I75" s="66">
        <v>0</v>
      </c>
      <c r="J75" s="66"/>
      <c r="K75" s="66">
        <f>14150+900-900+2700-2700+1200+800+800+1050+900-900+900+1200+750-750+900+750+900+1200+1200+14400+750-900-750-1350-1500+750-900-900-900-1200-2250-750-900-900-1450+900+900+900+1950-1950+900+900-900+900+900+900+900-900+900-900+900-900+900-900+750-750+900-12800+900-900+1500+2300-2300+1350+750-750-21700+13350+1350-1350+1350-13250-17850+1550+1350-1350+900-900+900-900+900+900+900+900+900+1200-1200+900+750+4950-4950+900+750+900-900+900+1350+900-900+900-900+13500+1350-1350+900-900+900-900+1200-1200-900-1350-900-800-900-5700</f>
        <v>0</v>
      </c>
      <c r="L75" s="66">
        <f>7100-1950+1950-1950+1950+1950-1950-1350+1350-1350-5750</f>
        <v>0</v>
      </c>
      <c r="M75" s="66">
        <f>18750-1800-750-750-750-1200-3600-4050-1200-1200-900-900-1350-300</f>
        <v>0</v>
      </c>
      <c r="N75" s="66">
        <f>900+900+900+900+900+900+900+900+900-900+900+900+900+900+900-900+900+900+1350+900+900+1950-1950+650+900+900+900+900-900+900+1750+2150+1950-1950+1750-750-900-300-18000-5700</f>
        <v>0</v>
      </c>
      <c r="O75" s="66">
        <f>1350+2800+750+900+900+900-7600</f>
        <v>0</v>
      </c>
      <c r="P75" s="66">
        <f>2550+800+900+1950+1350+900+1200+900+900+900+900+1750+900+900+900+900-550-1050-1350-1350-900-13400</f>
        <v>0</v>
      </c>
      <c r="Q75" s="66">
        <f>11800+900+2300-8250-900-3650+1350+6750-10300</f>
        <v>0</v>
      </c>
      <c r="R75" s="66">
        <f>2450+1350+17800+900-900+1400+5400-2550-1200-1350-1350-2300+2100-2100-2400-9900</f>
        <v>7350</v>
      </c>
      <c r="S75" s="66">
        <f>1550+1400+1050+1200+9750+1350+1350+1350+1350+1350+1350+1350+11700+20150-41750</f>
        <v>14500</v>
      </c>
      <c r="T75" s="66">
        <f>17300+2900+17300+5000</f>
        <v>42500</v>
      </c>
      <c r="U75" s="66">
        <f>1350+5000+8312.5</f>
        <v>14662.5</v>
      </c>
      <c r="V75" s="67">
        <f t="shared" si="1"/>
        <v>79012.5</v>
      </c>
    </row>
    <row r="76" spans="1:22" x14ac:dyDescent="0.25">
      <c r="A76" s="19">
        <v>68</v>
      </c>
      <c r="B76" s="64" t="s">
        <v>149</v>
      </c>
      <c r="C76" s="65" t="s">
        <v>175</v>
      </c>
      <c r="D76" s="65" t="s">
        <v>115</v>
      </c>
      <c r="E76" s="68"/>
      <c r="F76" s="68"/>
      <c r="G76" s="68"/>
      <c r="H76" s="66"/>
      <c r="I76" s="66">
        <v>0</v>
      </c>
      <c r="J76" s="66">
        <v>0</v>
      </c>
      <c r="K76" s="66">
        <f>54988+22892-54988+196588+82364-219480-82364</f>
        <v>0</v>
      </c>
      <c r="L76" s="66">
        <f>80004-80004</f>
        <v>0</v>
      </c>
      <c r="M76" s="66">
        <v>0</v>
      </c>
      <c r="N76" s="66"/>
      <c r="O76" s="66"/>
      <c r="P76" s="66"/>
      <c r="Q76" s="66"/>
      <c r="R76" s="66"/>
      <c r="S76" s="66">
        <f>385478.65-385478.65</f>
        <v>0</v>
      </c>
      <c r="T76" s="66">
        <v>278480</v>
      </c>
      <c r="U76" s="66">
        <v>37760</v>
      </c>
      <c r="V76" s="67">
        <f t="shared" si="1"/>
        <v>316240</v>
      </c>
    </row>
    <row r="77" spans="1:22" x14ac:dyDescent="0.25">
      <c r="A77" s="19">
        <v>69</v>
      </c>
      <c r="B77" s="64" t="s">
        <v>163</v>
      </c>
      <c r="C77" s="65" t="s">
        <v>176</v>
      </c>
      <c r="D77" s="65" t="s">
        <v>115</v>
      </c>
      <c r="E77" s="68"/>
      <c r="F77" s="68"/>
      <c r="G77" s="68"/>
      <c r="H77" s="66"/>
      <c r="I77" s="66">
        <v>0</v>
      </c>
      <c r="J77" s="66"/>
      <c r="K77" s="66">
        <v>0</v>
      </c>
      <c r="L77" s="66"/>
      <c r="M77" s="66">
        <v>0</v>
      </c>
      <c r="N77" s="66"/>
      <c r="O77" s="66"/>
      <c r="P77" s="66"/>
      <c r="Q77" s="66"/>
      <c r="R77" s="66"/>
      <c r="S77" s="66"/>
      <c r="T77" s="66"/>
      <c r="U77" s="66"/>
      <c r="V77" s="67">
        <f t="shared" si="1"/>
        <v>0</v>
      </c>
    </row>
    <row r="78" spans="1:22" x14ac:dyDescent="0.25">
      <c r="A78" s="19">
        <v>70</v>
      </c>
      <c r="B78" s="64" t="s">
        <v>164</v>
      </c>
      <c r="C78" s="65" t="s">
        <v>173</v>
      </c>
      <c r="D78" s="65" t="s">
        <v>115</v>
      </c>
      <c r="E78" s="68"/>
      <c r="F78" s="68"/>
      <c r="G78" s="68"/>
      <c r="H78" s="66"/>
      <c r="I78" s="66">
        <v>0</v>
      </c>
      <c r="J78" s="66"/>
      <c r="K78" s="66">
        <f>21059.98-21059.98+20502.89-20502.89+50152.72+40046.52-50152.72-40046.52</f>
        <v>0</v>
      </c>
      <c r="L78" s="66"/>
      <c r="M78" s="66">
        <v>0</v>
      </c>
      <c r="N78" s="66"/>
      <c r="O78" s="66"/>
      <c r="P78" s="66"/>
      <c r="Q78" s="66"/>
      <c r="R78" s="66"/>
      <c r="S78" s="66"/>
      <c r="T78" s="66"/>
      <c r="U78" s="66">
        <v>110656.03</v>
      </c>
      <c r="V78" s="67">
        <f t="shared" si="1"/>
        <v>110656.03</v>
      </c>
    </row>
    <row r="79" spans="1:22" x14ac:dyDescent="0.25">
      <c r="A79" s="19">
        <v>71</v>
      </c>
      <c r="B79" s="64" t="s">
        <v>165</v>
      </c>
      <c r="C79" s="65" t="s">
        <v>177</v>
      </c>
      <c r="D79" s="65" t="s">
        <v>115</v>
      </c>
      <c r="E79" s="68"/>
      <c r="F79" s="68"/>
      <c r="G79" s="68"/>
      <c r="H79" s="66"/>
      <c r="I79" s="66">
        <v>0</v>
      </c>
      <c r="J79" s="66"/>
      <c r="K79" s="66">
        <v>0</v>
      </c>
      <c r="L79" s="66"/>
      <c r="M79" s="66">
        <v>0</v>
      </c>
      <c r="N79" s="66"/>
      <c r="O79" s="66"/>
      <c r="P79" s="66"/>
      <c r="Q79" s="66"/>
      <c r="R79" s="66"/>
      <c r="S79" s="66"/>
      <c r="T79" s="66"/>
      <c r="U79" s="66"/>
      <c r="V79" s="67">
        <f t="shared" si="1"/>
        <v>0</v>
      </c>
    </row>
    <row r="80" spans="1:22" x14ac:dyDescent="0.25">
      <c r="A80" s="19">
        <v>72</v>
      </c>
      <c r="B80" s="64" t="s">
        <v>166</v>
      </c>
      <c r="C80" s="65" t="s">
        <v>178</v>
      </c>
      <c r="D80" s="65" t="s">
        <v>115</v>
      </c>
      <c r="E80" s="68"/>
      <c r="F80" s="68"/>
      <c r="G80" s="68"/>
      <c r="H80" s="66"/>
      <c r="I80" s="66">
        <v>0</v>
      </c>
      <c r="J80" s="66"/>
      <c r="K80" s="66">
        <f>225816.03-225816.03</f>
        <v>0</v>
      </c>
      <c r="L80" s="66"/>
      <c r="M80" s="66">
        <v>0</v>
      </c>
      <c r="N80" s="66"/>
      <c r="O80" s="66"/>
      <c r="P80" s="66"/>
      <c r="Q80" s="66"/>
      <c r="R80" s="66"/>
      <c r="S80" s="66"/>
      <c r="T80" s="66"/>
      <c r="U80" s="66"/>
      <c r="V80" s="67">
        <f t="shared" si="1"/>
        <v>0</v>
      </c>
    </row>
    <row r="81" spans="1:22" x14ac:dyDescent="0.25">
      <c r="A81" s="19">
        <v>73</v>
      </c>
      <c r="B81" s="64" t="s">
        <v>167</v>
      </c>
      <c r="C81" s="65" t="s">
        <v>179</v>
      </c>
      <c r="D81" s="65" t="s">
        <v>115</v>
      </c>
      <c r="E81" s="70"/>
      <c r="F81" s="70"/>
      <c r="G81" s="70"/>
      <c r="H81" s="66"/>
      <c r="I81" s="66">
        <v>0</v>
      </c>
      <c r="J81" s="66"/>
      <c r="K81" s="66">
        <f>13452+6338+2360-13452-6338-2360+74800.26-74800.26</f>
        <v>0</v>
      </c>
      <c r="L81" s="66"/>
      <c r="M81" s="66">
        <v>0</v>
      </c>
      <c r="N81" s="66"/>
      <c r="O81" s="66"/>
      <c r="P81" s="66">
        <f>48200-48200</f>
        <v>0</v>
      </c>
      <c r="Q81" s="66"/>
      <c r="R81" s="66"/>
      <c r="S81" s="66">
        <f>186000-186000</f>
        <v>0</v>
      </c>
      <c r="T81" s="66"/>
      <c r="U81" s="66"/>
      <c r="V81" s="67">
        <f t="shared" si="1"/>
        <v>0</v>
      </c>
    </row>
    <row r="82" spans="1:22" x14ac:dyDescent="0.25">
      <c r="A82" s="19">
        <v>74</v>
      </c>
      <c r="B82" s="64" t="s">
        <v>168</v>
      </c>
      <c r="C82" s="65" t="s">
        <v>180</v>
      </c>
      <c r="D82" s="65" t="s">
        <v>115</v>
      </c>
      <c r="E82" s="70"/>
      <c r="F82" s="70"/>
      <c r="G82" s="70"/>
      <c r="H82" s="71"/>
      <c r="I82" s="71">
        <v>0</v>
      </c>
      <c r="J82" s="71">
        <v>0</v>
      </c>
      <c r="K82" s="71">
        <v>0</v>
      </c>
      <c r="L82" s="71"/>
      <c r="M82" s="71">
        <v>0</v>
      </c>
      <c r="N82" s="66"/>
      <c r="O82" s="66"/>
      <c r="P82" s="66"/>
      <c r="Q82" s="66"/>
      <c r="R82" s="66"/>
      <c r="S82" s="66"/>
      <c r="T82" s="66">
        <f>46855.12+2879.09</f>
        <v>49734.210000000006</v>
      </c>
      <c r="U82" s="66"/>
      <c r="V82" s="67">
        <f t="shared" si="1"/>
        <v>49734.210000000006</v>
      </c>
    </row>
    <row r="83" spans="1:22" x14ac:dyDescent="0.25">
      <c r="A83" s="19">
        <v>75</v>
      </c>
      <c r="B83" s="64" t="s">
        <v>169</v>
      </c>
      <c r="C83" s="65" t="s">
        <v>173</v>
      </c>
      <c r="D83" s="65" t="s">
        <v>115</v>
      </c>
      <c r="E83" s="70"/>
      <c r="F83" s="70"/>
      <c r="G83" s="70"/>
      <c r="H83" s="71"/>
      <c r="I83" s="71"/>
      <c r="J83" s="71"/>
      <c r="K83" s="71">
        <f>22000-22000</f>
        <v>0</v>
      </c>
      <c r="L83" s="71"/>
      <c r="M83" s="71">
        <v>0</v>
      </c>
      <c r="N83" s="66"/>
      <c r="O83" s="66"/>
      <c r="P83" s="66"/>
      <c r="Q83" s="66"/>
      <c r="R83" s="66"/>
      <c r="S83" s="66"/>
      <c r="T83" s="66"/>
      <c r="U83" s="66"/>
      <c r="V83" s="67">
        <f t="shared" si="1"/>
        <v>0</v>
      </c>
    </row>
    <row r="84" spans="1:22" x14ac:dyDescent="0.25">
      <c r="A84" s="19">
        <v>76</v>
      </c>
      <c r="B84" s="64" t="s">
        <v>190</v>
      </c>
      <c r="C84" s="65" t="s">
        <v>191</v>
      </c>
      <c r="D84" s="65" t="s">
        <v>115</v>
      </c>
      <c r="E84" s="70"/>
      <c r="F84" s="70"/>
      <c r="G84" s="70"/>
      <c r="H84" s="71"/>
      <c r="I84" s="71"/>
      <c r="J84" s="71"/>
      <c r="K84" s="71">
        <f>21799.99-21799.99</f>
        <v>0</v>
      </c>
      <c r="L84" s="71"/>
      <c r="M84" s="71">
        <v>0</v>
      </c>
      <c r="N84" s="66"/>
      <c r="O84" s="66"/>
      <c r="P84" s="66"/>
      <c r="Q84" s="66"/>
      <c r="R84" s="66"/>
      <c r="S84" s="66"/>
      <c r="T84" s="66"/>
      <c r="U84" s="66"/>
      <c r="V84" s="67">
        <f t="shared" si="1"/>
        <v>0</v>
      </c>
    </row>
    <row r="85" spans="1:22" x14ac:dyDescent="0.25">
      <c r="A85" s="19">
        <v>77</v>
      </c>
      <c r="B85" s="64" t="s">
        <v>192</v>
      </c>
      <c r="C85" s="65" t="s">
        <v>193</v>
      </c>
      <c r="D85" s="65" t="s">
        <v>115</v>
      </c>
      <c r="E85" s="70"/>
      <c r="F85" s="70"/>
      <c r="G85" s="70"/>
      <c r="H85" s="71"/>
      <c r="I85" s="71"/>
      <c r="J85" s="71"/>
      <c r="K85" s="71">
        <v>0</v>
      </c>
      <c r="L85" s="71"/>
      <c r="M85" s="71">
        <v>0</v>
      </c>
      <c r="N85" s="66"/>
      <c r="O85" s="66"/>
      <c r="P85" s="66"/>
      <c r="Q85" s="66"/>
      <c r="R85" s="66"/>
      <c r="S85" s="66"/>
      <c r="T85" s="66"/>
      <c r="U85" s="66"/>
      <c r="V85" s="67">
        <f t="shared" si="1"/>
        <v>0</v>
      </c>
    </row>
    <row r="86" spans="1:22" x14ac:dyDescent="0.25">
      <c r="A86" s="19">
        <v>78</v>
      </c>
      <c r="B86" s="64" t="s">
        <v>194</v>
      </c>
      <c r="C86" s="65" t="s">
        <v>196</v>
      </c>
      <c r="D86" s="65" t="s">
        <v>115</v>
      </c>
      <c r="E86" s="70"/>
      <c r="F86" s="70"/>
      <c r="G86" s="70"/>
      <c r="H86" s="71"/>
      <c r="I86" s="71"/>
      <c r="J86" s="71"/>
      <c r="K86" s="71">
        <f>29500-29500+38940-38940+36580-36580+29500-29500</f>
        <v>0</v>
      </c>
      <c r="L86" s="71"/>
      <c r="M86" s="71">
        <v>0</v>
      </c>
      <c r="N86" s="66"/>
      <c r="O86" s="66"/>
      <c r="P86" s="66"/>
      <c r="Q86" s="66"/>
      <c r="R86" s="66"/>
      <c r="S86" s="66"/>
      <c r="T86" s="66"/>
      <c r="U86" s="66">
        <v>37760</v>
      </c>
      <c r="V86" s="67">
        <f t="shared" si="1"/>
        <v>37760</v>
      </c>
    </row>
    <row r="87" spans="1:22" x14ac:dyDescent="0.25">
      <c r="A87" s="19">
        <v>79</v>
      </c>
      <c r="B87" s="64" t="s">
        <v>195</v>
      </c>
      <c r="C87" s="65" t="s">
        <v>197</v>
      </c>
      <c r="D87" s="65" t="s">
        <v>115</v>
      </c>
      <c r="E87" s="70"/>
      <c r="F87" s="70"/>
      <c r="G87" s="70"/>
      <c r="H87" s="72"/>
      <c r="I87" s="72"/>
      <c r="J87" s="72"/>
      <c r="K87" s="72">
        <v>0</v>
      </c>
      <c r="L87" s="72"/>
      <c r="M87" s="72">
        <v>0</v>
      </c>
      <c r="N87" s="66"/>
      <c r="O87" s="66"/>
      <c r="P87" s="66"/>
      <c r="Q87" s="66"/>
      <c r="R87" s="66"/>
      <c r="S87" s="66"/>
      <c r="T87" s="66"/>
      <c r="U87" s="66"/>
      <c r="V87" s="67">
        <f t="shared" si="1"/>
        <v>0</v>
      </c>
    </row>
    <row r="88" spans="1:22" x14ac:dyDescent="0.25">
      <c r="A88" s="19">
        <v>80</v>
      </c>
      <c r="B88" s="64" t="s">
        <v>198</v>
      </c>
      <c r="C88" s="65" t="s">
        <v>200</v>
      </c>
      <c r="D88" s="65" t="s">
        <v>115</v>
      </c>
      <c r="E88" s="68"/>
      <c r="F88" s="68"/>
      <c r="G88" s="68"/>
      <c r="H88" s="73"/>
      <c r="I88" s="73"/>
      <c r="J88" s="73"/>
      <c r="K88" s="73">
        <f>49992+8040+32794.56+73300+3600+58540.27+108640.01+79488.37+45344.92+226566.32-168234.83-233473.3+33276-259842.32+55577.25-49992-8040+21948-21948-55577.25+48636.9-48636.9+53664.3-53664.3+11800-11800+41461.3-41461.3</f>
        <v>0</v>
      </c>
      <c r="L88" s="73">
        <f>48933.9-48933.9</f>
        <v>0</v>
      </c>
      <c r="M88" s="73">
        <f>775309.54-198607-9996-8330-16660-53725.05-487991.49</f>
        <v>0</v>
      </c>
      <c r="N88" s="66">
        <f>39579+50004.45+39579-39579-50004.45-39579</f>
        <v>0</v>
      </c>
      <c r="O88" s="66">
        <f>51899.85-51899.85</f>
        <v>0</v>
      </c>
      <c r="P88" s="66">
        <f>57548.25-57548.25</f>
        <v>0</v>
      </c>
      <c r="Q88" s="66">
        <f>209410.48+61283.7-209410.48-61283.7</f>
        <v>0</v>
      </c>
      <c r="R88" s="66">
        <f>52419.8-52419.8</f>
        <v>0</v>
      </c>
      <c r="S88" s="66">
        <f>59550.3-59550.3</f>
        <v>0</v>
      </c>
      <c r="T88" s="66">
        <f>33240-33240+297039-297039+62824.05</f>
        <v>62824.05</v>
      </c>
      <c r="U88" s="66">
        <f>11070+251096+73818.45</f>
        <v>335984.45</v>
      </c>
      <c r="V88" s="67">
        <f t="shared" si="1"/>
        <v>398808.5</v>
      </c>
    </row>
    <row r="89" spans="1:22" x14ac:dyDescent="0.25">
      <c r="A89" s="19">
        <v>81</v>
      </c>
      <c r="B89" s="64" t="s">
        <v>199</v>
      </c>
      <c r="C89" s="65" t="s">
        <v>201</v>
      </c>
      <c r="D89" s="65" t="s">
        <v>115</v>
      </c>
      <c r="E89" s="70"/>
      <c r="F89" s="70"/>
      <c r="G89" s="70"/>
      <c r="H89" s="66"/>
      <c r="I89" s="66"/>
      <c r="J89" s="66"/>
      <c r="K89" s="66"/>
      <c r="L89" s="66">
        <f>44604-44604</f>
        <v>0</v>
      </c>
      <c r="M89" s="66">
        <v>0</v>
      </c>
      <c r="N89" s="66"/>
      <c r="O89" s="66"/>
      <c r="P89" s="66"/>
      <c r="Q89" s="66">
        <f>50386-50386</f>
        <v>0</v>
      </c>
      <c r="R89" s="66"/>
      <c r="S89" s="66"/>
      <c r="T89" s="66">
        <f>20414+0</f>
        <v>20414</v>
      </c>
      <c r="U89" s="66"/>
      <c r="V89" s="67">
        <f t="shared" si="1"/>
        <v>20414</v>
      </c>
    </row>
    <row r="90" spans="1:22" x14ac:dyDescent="0.25">
      <c r="A90" s="19">
        <v>82</v>
      </c>
      <c r="B90" s="64" t="s">
        <v>195</v>
      </c>
      <c r="C90" s="65" t="s">
        <v>215</v>
      </c>
      <c r="D90" s="65" t="s">
        <v>115</v>
      </c>
      <c r="E90" s="70"/>
      <c r="F90" s="70"/>
      <c r="G90" s="70"/>
      <c r="H90" s="66"/>
      <c r="I90" s="66"/>
      <c r="J90" s="66"/>
      <c r="K90" s="66">
        <v>0</v>
      </c>
      <c r="L90" s="66"/>
      <c r="M90" s="66">
        <v>0</v>
      </c>
      <c r="N90" s="66"/>
      <c r="O90" s="66"/>
      <c r="P90" s="66"/>
      <c r="Q90" s="66"/>
      <c r="R90" s="66"/>
      <c r="S90" s="66"/>
      <c r="T90" s="66"/>
      <c r="U90" s="66"/>
      <c r="V90" s="67">
        <f t="shared" si="1"/>
        <v>0</v>
      </c>
    </row>
    <row r="91" spans="1:22" x14ac:dyDescent="0.25">
      <c r="A91" s="19">
        <v>83</v>
      </c>
      <c r="B91" s="64" t="s">
        <v>203</v>
      </c>
      <c r="C91" s="65" t="s">
        <v>204</v>
      </c>
      <c r="D91" s="65" t="s">
        <v>115</v>
      </c>
      <c r="E91" s="70"/>
      <c r="F91" s="70"/>
      <c r="G91" s="70"/>
      <c r="H91" s="66"/>
      <c r="I91" s="66"/>
      <c r="J91" s="66"/>
      <c r="K91" s="66">
        <v>0</v>
      </c>
      <c r="L91" s="66"/>
      <c r="M91" s="66">
        <v>0</v>
      </c>
      <c r="N91" s="66"/>
      <c r="O91" s="66"/>
      <c r="P91" s="66"/>
      <c r="Q91" s="66"/>
      <c r="R91" s="66"/>
      <c r="S91" s="66"/>
      <c r="T91" s="66"/>
      <c r="U91" s="66"/>
      <c r="V91" s="67">
        <f t="shared" si="1"/>
        <v>0</v>
      </c>
    </row>
    <row r="92" spans="1:22" x14ac:dyDescent="0.25">
      <c r="A92" s="19">
        <v>84</v>
      </c>
      <c r="B92" s="64" t="s">
        <v>170</v>
      </c>
      <c r="C92" s="65" t="s">
        <v>181</v>
      </c>
      <c r="D92" s="65" t="s">
        <v>115</v>
      </c>
      <c r="E92" s="70"/>
      <c r="F92" s="70"/>
      <c r="G92" s="70"/>
      <c r="H92" s="66"/>
      <c r="I92" s="66"/>
      <c r="J92" s="66"/>
      <c r="K92" s="66"/>
      <c r="L92" s="66">
        <f>24526-24526</f>
        <v>0</v>
      </c>
      <c r="M92" s="66">
        <v>0</v>
      </c>
      <c r="N92" s="66"/>
      <c r="O92" s="66"/>
      <c r="P92" s="66"/>
      <c r="Q92" s="66"/>
      <c r="R92" s="66"/>
      <c r="S92" s="66"/>
      <c r="T92" s="66"/>
      <c r="U92" s="66"/>
      <c r="V92" s="67">
        <f t="shared" si="1"/>
        <v>0</v>
      </c>
    </row>
    <row r="93" spans="1:22" x14ac:dyDescent="0.25">
      <c r="A93" s="19">
        <v>85</v>
      </c>
      <c r="B93" s="64" t="s">
        <v>223</v>
      </c>
      <c r="C93" s="65" t="s">
        <v>224</v>
      </c>
      <c r="D93" s="65" t="s">
        <v>115</v>
      </c>
      <c r="E93" s="70"/>
      <c r="F93" s="70"/>
      <c r="G93" s="70"/>
      <c r="H93" s="66"/>
      <c r="I93" s="66"/>
      <c r="J93" s="66"/>
      <c r="K93" s="66">
        <f>26000-26000</f>
        <v>0</v>
      </c>
      <c r="L93" s="66"/>
      <c r="M93" s="66">
        <v>0</v>
      </c>
      <c r="N93" s="66"/>
      <c r="O93" s="66"/>
      <c r="P93" s="66"/>
      <c r="Q93" s="66"/>
      <c r="R93" s="66"/>
      <c r="S93" s="66"/>
      <c r="T93" s="66"/>
      <c r="U93" s="66"/>
      <c r="V93" s="67">
        <f t="shared" si="1"/>
        <v>0</v>
      </c>
    </row>
    <row r="94" spans="1:22" x14ac:dyDescent="0.25">
      <c r="A94" s="19">
        <v>86</v>
      </c>
      <c r="B94" s="64" t="s">
        <v>222</v>
      </c>
      <c r="C94" s="65" t="s">
        <v>181</v>
      </c>
      <c r="D94" s="65" t="s">
        <v>115</v>
      </c>
      <c r="E94" s="70"/>
      <c r="F94" s="70"/>
      <c r="G94" s="70"/>
      <c r="H94" s="66"/>
      <c r="I94" s="66"/>
      <c r="J94" s="66"/>
      <c r="K94" s="66">
        <f>40020-40020</f>
        <v>0</v>
      </c>
      <c r="L94" s="66"/>
      <c r="M94" s="66">
        <v>0</v>
      </c>
      <c r="N94" s="66"/>
      <c r="O94" s="66"/>
      <c r="P94" s="66"/>
      <c r="Q94" s="66"/>
      <c r="R94" s="66"/>
      <c r="S94" s="66"/>
      <c r="T94" s="66"/>
      <c r="U94" s="66"/>
      <c r="V94" s="67">
        <f t="shared" si="1"/>
        <v>0</v>
      </c>
    </row>
    <row r="95" spans="1:22" x14ac:dyDescent="0.25">
      <c r="A95" s="19">
        <v>87</v>
      </c>
      <c r="B95" s="64" t="s">
        <v>227</v>
      </c>
      <c r="C95" s="65" t="s">
        <v>228</v>
      </c>
      <c r="D95" s="65" t="s">
        <v>115</v>
      </c>
      <c r="E95" s="70"/>
      <c r="F95" s="70"/>
      <c r="G95" s="70"/>
      <c r="H95" s="66"/>
      <c r="I95" s="66"/>
      <c r="J95" s="66"/>
      <c r="K95" s="66"/>
      <c r="L95" s="66"/>
      <c r="M95" s="66">
        <v>0</v>
      </c>
      <c r="N95" s="66"/>
      <c r="O95" s="66"/>
      <c r="P95" s="66"/>
      <c r="Q95" s="66"/>
      <c r="R95" s="66"/>
      <c r="S95" s="66"/>
      <c r="T95" s="66"/>
      <c r="U95" s="66">
        <v>26943.360000000001</v>
      </c>
      <c r="V95" s="67">
        <f t="shared" si="1"/>
        <v>26943.360000000001</v>
      </c>
    </row>
    <row r="96" spans="1:22" x14ac:dyDescent="0.25">
      <c r="A96" s="19">
        <v>88</v>
      </c>
      <c r="B96" s="64" t="s">
        <v>225</v>
      </c>
      <c r="C96" s="65" t="s">
        <v>226</v>
      </c>
      <c r="D96" s="65" t="s">
        <v>115</v>
      </c>
      <c r="E96" s="70"/>
      <c r="F96" s="70"/>
      <c r="G96" s="70"/>
      <c r="H96" s="66"/>
      <c r="I96" s="66"/>
      <c r="J96" s="66"/>
      <c r="K96" s="66">
        <f>42834-42834</f>
        <v>0</v>
      </c>
      <c r="L96" s="66"/>
      <c r="M96" s="66">
        <v>0</v>
      </c>
      <c r="N96" s="66"/>
      <c r="O96" s="66"/>
      <c r="P96" s="66"/>
      <c r="Q96" s="66"/>
      <c r="R96" s="66"/>
      <c r="S96" s="66"/>
      <c r="T96" s="66"/>
      <c r="U96" s="66"/>
      <c r="V96" s="67">
        <f t="shared" si="1"/>
        <v>0</v>
      </c>
    </row>
    <row r="97" spans="1:22" x14ac:dyDescent="0.25">
      <c r="A97" s="19">
        <v>89</v>
      </c>
      <c r="B97" s="64" t="s">
        <v>229</v>
      </c>
      <c r="C97" s="65" t="s">
        <v>230</v>
      </c>
      <c r="D97" s="65" t="s">
        <v>115</v>
      </c>
      <c r="E97" s="70"/>
      <c r="F97" s="70"/>
      <c r="G97" s="70"/>
      <c r="H97" s="66"/>
      <c r="I97" s="66"/>
      <c r="J97" s="66"/>
      <c r="K97" s="66">
        <f>11700-11700</f>
        <v>0</v>
      </c>
      <c r="L97" s="66"/>
      <c r="M97" s="66">
        <v>0</v>
      </c>
      <c r="N97" s="66"/>
      <c r="O97" s="66"/>
      <c r="P97" s="66"/>
      <c r="Q97" s="66"/>
      <c r="R97" s="66"/>
      <c r="S97" s="66"/>
      <c r="T97" s="66"/>
      <c r="U97" s="66"/>
      <c r="V97" s="67">
        <f t="shared" si="1"/>
        <v>0</v>
      </c>
    </row>
    <row r="98" spans="1:22" x14ac:dyDescent="0.25">
      <c r="A98" s="19">
        <v>90</v>
      </c>
      <c r="B98" s="64" t="s">
        <v>231</v>
      </c>
      <c r="C98" s="65" t="s">
        <v>226</v>
      </c>
      <c r="D98" s="65" t="s">
        <v>115</v>
      </c>
      <c r="E98" s="70"/>
      <c r="F98" s="70"/>
      <c r="G98" s="70"/>
      <c r="H98" s="66"/>
      <c r="I98" s="66"/>
      <c r="J98" s="66"/>
      <c r="K98" s="66">
        <f>34545-34545</f>
        <v>0</v>
      </c>
      <c r="L98" s="66"/>
      <c r="M98" s="66">
        <v>0</v>
      </c>
      <c r="N98" s="66"/>
      <c r="O98" s="66"/>
      <c r="P98" s="66"/>
      <c r="Q98" s="66"/>
      <c r="R98" s="66"/>
      <c r="S98" s="66"/>
      <c r="T98" s="66"/>
      <c r="U98" s="66"/>
      <c r="V98" s="67">
        <f t="shared" si="1"/>
        <v>0</v>
      </c>
    </row>
    <row r="99" spans="1:22" ht="15.75" x14ac:dyDescent="0.25">
      <c r="A99" s="19">
        <v>91</v>
      </c>
      <c r="B99" s="58" t="s">
        <v>232</v>
      </c>
      <c r="C99" s="65" t="s">
        <v>233</v>
      </c>
      <c r="D99" s="65" t="s">
        <v>115</v>
      </c>
      <c r="E99" s="70"/>
      <c r="F99" s="70"/>
      <c r="G99" s="70"/>
      <c r="H99" s="66"/>
      <c r="I99" s="66"/>
      <c r="J99" s="66"/>
      <c r="K99" s="66">
        <f>6500+4000-6500-4000</f>
        <v>0</v>
      </c>
      <c r="L99" s="66"/>
      <c r="M99" s="66">
        <v>0</v>
      </c>
      <c r="N99" s="66"/>
      <c r="O99" s="66"/>
      <c r="P99" s="66"/>
      <c r="Q99" s="66"/>
      <c r="R99" s="66"/>
      <c r="S99" s="66"/>
      <c r="T99" s="66"/>
      <c r="U99" s="66"/>
      <c r="V99" s="67">
        <f t="shared" si="1"/>
        <v>0</v>
      </c>
    </row>
    <row r="100" spans="1:22" ht="15.75" x14ac:dyDescent="0.25">
      <c r="A100" s="19">
        <v>92</v>
      </c>
      <c r="B100" s="58" t="s">
        <v>234</v>
      </c>
      <c r="C100" s="65" t="s">
        <v>235</v>
      </c>
      <c r="D100" s="65" t="s">
        <v>115</v>
      </c>
      <c r="E100" s="70"/>
      <c r="F100" s="70"/>
      <c r="G100" s="70"/>
      <c r="H100" s="66"/>
      <c r="I100" s="66"/>
      <c r="J100" s="66"/>
      <c r="K100" s="66">
        <f>11210-11210</f>
        <v>0</v>
      </c>
      <c r="L100" s="66"/>
      <c r="M100" s="66">
        <f>14160-14160</f>
        <v>0</v>
      </c>
      <c r="N100" s="66"/>
      <c r="O100" s="66"/>
      <c r="P100" s="66"/>
      <c r="Q100" s="66"/>
      <c r="R100" s="66"/>
      <c r="S100" s="66"/>
      <c r="T100" s="66"/>
      <c r="U100" s="66"/>
      <c r="V100" s="67">
        <f t="shared" si="1"/>
        <v>0</v>
      </c>
    </row>
    <row r="101" spans="1:22" ht="15.75" x14ac:dyDescent="0.25">
      <c r="A101" s="19">
        <v>93</v>
      </c>
      <c r="B101" s="58" t="s">
        <v>236</v>
      </c>
      <c r="C101" s="65" t="s">
        <v>59</v>
      </c>
      <c r="D101" s="65" t="s">
        <v>115</v>
      </c>
      <c r="E101" s="70"/>
      <c r="F101" s="70"/>
      <c r="G101" s="70"/>
      <c r="H101" s="66"/>
      <c r="I101" s="66"/>
      <c r="J101" s="66"/>
      <c r="K101" s="66">
        <f>159500-159500</f>
        <v>0</v>
      </c>
      <c r="L101" s="66"/>
      <c r="M101" s="66">
        <v>0</v>
      </c>
      <c r="N101" s="66"/>
      <c r="O101" s="66"/>
      <c r="P101" s="66">
        <f>13280+78930-92210</f>
        <v>0</v>
      </c>
      <c r="Q101" s="66"/>
      <c r="R101" s="66"/>
      <c r="S101" s="66"/>
      <c r="T101" s="66"/>
      <c r="U101" s="66"/>
      <c r="V101" s="67">
        <f t="shared" si="1"/>
        <v>0</v>
      </c>
    </row>
    <row r="102" spans="1:22" ht="15.75" x14ac:dyDescent="0.25">
      <c r="A102" s="19">
        <v>94</v>
      </c>
      <c r="B102" s="58" t="s">
        <v>237</v>
      </c>
      <c r="C102" s="65" t="s">
        <v>59</v>
      </c>
      <c r="D102" s="65" t="s">
        <v>115</v>
      </c>
      <c r="E102" s="70"/>
      <c r="F102" s="70"/>
      <c r="G102" s="70"/>
      <c r="H102" s="66"/>
      <c r="I102" s="66"/>
      <c r="J102" s="66"/>
      <c r="K102" s="66">
        <f>230910.4-230910.4+31609+137729-31609-137729</f>
        <v>0</v>
      </c>
      <c r="L102" s="66"/>
      <c r="M102" s="66">
        <f>150600-150600</f>
        <v>0</v>
      </c>
      <c r="N102" s="66">
        <f>85205.44-85205.44</f>
        <v>0</v>
      </c>
      <c r="O102" s="66">
        <f>119835-119835</f>
        <v>0</v>
      </c>
      <c r="P102" s="66"/>
      <c r="Q102" s="66"/>
      <c r="R102" s="66"/>
      <c r="S102" s="66"/>
      <c r="T102" s="66"/>
      <c r="U102" s="66"/>
      <c r="V102" s="67">
        <f t="shared" si="1"/>
        <v>0</v>
      </c>
    </row>
    <row r="103" spans="1:22" x14ac:dyDescent="0.25">
      <c r="A103" s="19">
        <v>95</v>
      </c>
      <c r="B103" s="64" t="s">
        <v>238</v>
      </c>
      <c r="C103" s="65" t="s">
        <v>239</v>
      </c>
      <c r="D103" s="65" t="s">
        <v>115</v>
      </c>
      <c r="E103" s="70"/>
      <c r="F103" s="70"/>
      <c r="G103" s="70"/>
      <c r="H103" s="66"/>
      <c r="I103" s="66"/>
      <c r="J103" s="66"/>
      <c r="K103" s="66">
        <f>34545-34545</f>
        <v>0</v>
      </c>
      <c r="L103" s="66"/>
      <c r="M103" s="66">
        <v>0</v>
      </c>
      <c r="N103" s="66"/>
      <c r="O103" s="66"/>
      <c r="P103" s="66"/>
      <c r="Q103" s="66"/>
      <c r="R103" s="66"/>
      <c r="S103" s="66"/>
      <c r="T103" s="66"/>
      <c r="U103" s="66"/>
      <c r="V103" s="67">
        <f t="shared" si="1"/>
        <v>0</v>
      </c>
    </row>
    <row r="104" spans="1:22" ht="15.75" x14ac:dyDescent="0.25">
      <c r="A104" s="19">
        <v>96</v>
      </c>
      <c r="B104" s="58" t="s">
        <v>240</v>
      </c>
      <c r="C104" s="77" t="s">
        <v>241</v>
      </c>
      <c r="D104" s="65" t="s">
        <v>115</v>
      </c>
      <c r="E104" s="70"/>
      <c r="F104" s="70"/>
      <c r="G104" s="70"/>
      <c r="H104" s="66"/>
      <c r="I104" s="66"/>
      <c r="J104" s="66"/>
      <c r="K104" s="66">
        <f>161051.6-161051.6</f>
        <v>0</v>
      </c>
      <c r="L104" s="66"/>
      <c r="M104" s="66">
        <v>0</v>
      </c>
      <c r="N104" s="66"/>
      <c r="O104" s="66"/>
      <c r="P104" s="66"/>
      <c r="Q104" s="66"/>
      <c r="R104" s="66"/>
      <c r="S104" s="66"/>
      <c r="T104" s="66"/>
      <c r="U104" s="66"/>
      <c r="V104" s="67">
        <f t="shared" si="1"/>
        <v>0</v>
      </c>
    </row>
    <row r="105" spans="1:22" ht="15.75" x14ac:dyDescent="0.25">
      <c r="A105" s="19">
        <v>97</v>
      </c>
      <c r="B105" s="57" t="s">
        <v>242</v>
      </c>
      <c r="C105" s="77" t="s">
        <v>241</v>
      </c>
      <c r="D105" s="65" t="s">
        <v>115</v>
      </c>
      <c r="E105" s="70"/>
      <c r="F105" s="70"/>
      <c r="G105" s="70"/>
      <c r="H105" s="66"/>
      <c r="I105" s="66"/>
      <c r="J105" s="66"/>
      <c r="K105" s="66">
        <f>17611.5-17611.5</f>
        <v>0</v>
      </c>
      <c r="L105" s="66"/>
      <c r="M105" s="66">
        <v>0</v>
      </c>
      <c r="N105" s="66"/>
      <c r="O105" s="66"/>
      <c r="P105" s="66"/>
      <c r="Q105" s="66"/>
      <c r="R105" s="66"/>
      <c r="S105" s="66"/>
      <c r="T105" s="66"/>
      <c r="U105" s="66"/>
      <c r="V105" s="67">
        <f t="shared" si="1"/>
        <v>0</v>
      </c>
    </row>
    <row r="106" spans="1:22" ht="15.75" x14ac:dyDescent="0.25">
      <c r="A106" s="19">
        <v>98</v>
      </c>
      <c r="B106" s="58" t="s">
        <v>243</v>
      </c>
      <c r="C106" s="19" t="s">
        <v>245</v>
      </c>
      <c r="D106" s="65" t="s">
        <v>115</v>
      </c>
      <c r="E106" s="70"/>
      <c r="F106" s="70"/>
      <c r="G106" s="70"/>
      <c r="H106" s="66"/>
      <c r="I106" s="66"/>
      <c r="J106" s="66"/>
      <c r="K106" s="53">
        <f>35735.12-35735.12</f>
        <v>0</v>
      </c>
      <c r="L106" s="53"/>
      <c r="M106" s="53">
        <v>0</v>
      </c>
      <c r="N106" s="66"/>
      <c r="O106" s="66"/>
      <c r="P106" s="66"/>
      <c r="Q106" s="66"/>
      <c r="R106" s="66"/>
      <c r="S106" s="66"/>
      <c r="T106" s="66"/>
      <c r="U106" s="66"/>
      <c r="V106" s="67">
        <f t="shared" si="1"/>
        <v>0</v>
      </c>
    </row>
    <row r="107" spans="1:22" ht="15.75" x14ac:dyDescent="0.25">
      <c r="A107" s="19">
        <v>99</v>
      </c>
      <c r="B107" s="58" t="s">
        <v>244</v>
      </c>
      <c r="C107" s="77" t="s">
        <v>246</v>
      </c>
      <c r="D107" s="65" t="s">
        <v>115</v>
      </c>
      <c r="E107" s="70"/>
      <c r="F107" s="70"/>
      <c r="G107" s="70"/>
      <c r="H107" s="66"/>
      <c r="I107" s="66"/>
      <c r="J107" s="66"/>
      <c r="K107" s="53">
        <f>132435.36-132435.36</f>
        <v>0</v>
      </c>
      <c r="L107" s="53"/>
      <c r="M107" s="53">
        <v>0</v>
      </c>
      <c r="N107" s="66"/>
      <c r="O107" s="66"/>
      <c r="P107" s="66"/>
      <c r="Q107" s="66">
        <f>56592.8-56592.8</f>
        <v>0</v>
      </c>
      <c r="R107" s="66"/>
      <c r="S107" s="66"/>
      <c r="T107" s="66">
        <v>31399.94</v>
      </c>
      <c r="U107" s="66"/>
      <c r="V107" s="67">
        <f t="shared" si="1"/>
        <v>31399.94</v>
      </c>
    </row>
    <row r="108" spans="1:22" ht="15.75" x14ac:dyDescent="0.25">
      <c r="A108" s="19">
        <v>100</v>
      </c>
      <c r="B108" s="58" t="s">
        <v>274</v>
      </c>
      <c r="C108" s="65" t="s">
        <v>59</v>
      </c>
      <c r="D108" s="65" t="s">
        <v>115</v>
      </c>
      <c r="E108" s="70"/>
      <c r="F108" s="70"/>
      <c r="G108" s="70"/>
      <c r="H108" s="66"/>
      <c r="I108" s="66"/>
      <c r="J108" s="66"/>
      <c r="K108" s="53">
        <f>60400-60400</f>
        <v>0</v>
      </c>
      <c r="L108" s="53"/>
      <c r="M108" s="53">
        <v>0</v>
      </c>
      <c r="N108" s="66"/>
      <c r="O108" s="66"/>
      <c r="P108" s="66"/>
      <c r="Q108" s="66"/>
      <c r="R108" s="66"/>
      <c r="S108" s="66"/>
      <c r="T108" s="66"/>
      <c r="U108" s="66"/>
      <c r="V108" s="67">
        <f t="shared" si="1"/>
        <v>0</v>
      </c>
    </row>
    <row r="109" spans="1:22" ht="15.75" x14ac:dyDescent="0.25">
      <c r="A109" s="19">
        <v>101</v>
      </c>
      <c r="B109" s="57" t="s">
        <v>247</v>
      </c>
      <c r="C109" s="65" t="s">
        <v>132</v>
      </c>
      <c r="D109" s="65" t="s">
        <v>115</v>
      </c>
      <c r="E109" s="70"/>
      <c r="F109" s="70"/>
      <c r="G109" s="70"/>
      <c r="H109" s="66"/>
      <c r="I109" s="66"/>
      <c r="J109" s="66"/>
      <c r="K109" s="53">
        <f>25758-25758</f>
        <v>0</v>
      </c>
      <c r="L109" s="53"/>
      <c r="M109" s="53">
        <v>0</v>
      </c>
      <c r="N109" s="66"/>
      <c r="O109" s="66"/>
      <c r="P109" s="66"/>
      <c r="Q109" s="66"/>
      <c r="R109" s="66"/>
      <c r="S109" s="66"/>
      <c r="T109" s="66"/>
      <c r="U109" s="66"/>
      <c r="V109" s="67">
        <f t="shared" si="1"/>
        <v>0</v>
      </c>
    </row>
    <row r="110" spans="1:22" ht="15.75" x14ac:dyDescent="0.25">
      <c r="A110" s="19">
        <v>102</v>
      </c>
      <c r="B110" s="57" t="s">
        <v>248</v>
      </c>
      <c r="C110" s="65" t="s">
        <v>132</v>
      </c>
      <c r="D110" s="65" t="s">
        <v>115</v>
      </c>
      <c r="E110" s="70"/>
      <c r="F110" s="70"/>
      <c r="G110" s="70"/>
      <c r="H110" s="66"/>
      <c r="I110" s="66"/>
      <c r="J110" s="66"/>
      <c r="K110" s="53">
        <f>69710.37-69710.37</f>
        <v>0</v>
      </c>
      <c r="L110" s="53"/>
      <c r="M110" s="53">
        <v>0</v>
      </c>
      <c r="N110" s="66"/>
      <c r="O110" s="66"/>
      <c r="P110" s="66"/>
      <c r="Q110" s="66"/>
      <c r="R110" s="66"/>
      <c r="S110" s="66"/>
      <c r="T110" s="66"/>
      <c r="U110" s="66"/>
      <c r="V110" s="67">
        <f t="shared" si="1"/>
        <v>0</v>
      </c>
    </row>
    <row r="111" spans="1:22" ht="15.75" x14ac:dyDescent="0.25">
      <c r="A111" s="19">
        <v>103</v>
      </c>
      <c r="B111" s="57" t="s">
        <v>249</v>
      </c>
      <c r="C111" s="65" t="s">
        <v>130</v>
      </c>
      <c r="D111" s="65" t="s">
        <v>115</v>
      </c>
      <c r="E111" s="70"/>
      <c r="F111" s="70"/>
      <c r="G111" s="70"/>
      <c r="H111" s="66"/>
      <c r="I111" s="66"/>
      <c r="J111" s="66"/>
      <c r="K111" s="53">
        <f>486875-486875+165076.7-165076.7</f>
        <v>0</v>
      </c>
      <c r="L111" s="53">
        <f>58168.3-58168.3</f>
        <v>0</v>
      </c>
      <c r="M111" s="53">
        <f>56008.7-56008.7+53454.2-53454.2</f>
        <v>0</v>
      </c>
      <c r="N111" s="66">
        <f>53454.2-53454.2</f>
        <v>0</v>
      </c>
      <c r="O111" s="66"/>
      <c r="P111" s="66"/>
      <c r="Q111" s="66"/>
      <c r="R111" s="66"/>
      <c r="S111" s="66"/>
      <c r="T111" s="66"/>
      <c r="U111" s="66"/>
      <c r="V111" s="67">
        <f t="shared" si="1"/>
        <v>0</v>
      </c>
    </row>
    <row r="112" spans="1:22" ht="15.75" x14ac:dyDescent="0.25">
      <c r="A112" s="19">
        <v>104</v>
      </c>
      <c r="B112" s="57" t="s">
        <v>250</v>
      </c>
      <c r="C112" s="65" t="s">
        <v>132</v>
      </c>
      <c r="D112" s="65" t="s">
        <v>115</v>
      </c>
      <c r="E112" s="70"/>
      <c r="F112" s="70"/>
      <c r="G112" s="70"/>
      <c r="H112" s="66"/>
      <c r="I112" s="66"/>
      <c r="J112" s="66"/>
      <c r="K112" s="53">
        <f>722395.66+23463.12+163566-745858.78-163566+91745-91745+112196.76-112196.76+748806-748806+155023.92-155023.92+741453-741453+123251-123251+67260-67260+235823-235823</f>
        <v>0</v>
      </c>
      <c r="L112" s="53">
        <f>62776-62776</f>
        <v>0</v>
      </c>
      <c r="M112" s="53">
        <f>356610-356610</f>
        <v>0</v>
      </c>
      <c r="N112" s="66">
        <f>20001-20001+439390.7-439390.7+96982.83-96982.83+546833-546833+150000-150000+554541-554541+1410-1410</f>
        <v>0</v>
      </c>
      <c r="O112" s="66">
        <f>222423.2-222423.2+232578-232578+160464.8-160464.8+103740-103740+159100-159100+462585.82-462585.82</f>
        <v>0</v>
      </c>
      <c r="P112" s="66">
        <f>51110-51110+257476+51110-51110-257476</f>
        <v>0</v>
      </c>
      <c r="Q112" s="66">
        <f>849777.19+55338-55338+475330-475330+88100-88100-849777.19+242910.7+261180-261180-242910.7</f>
        <v>0</v>
      </c>
      <c r="R112" s="66">
        <f>116870+281148.84-281148.84+147106.44-147106.44+28910-116870-28910</f>
        <v>0</v>
      </c>
      <c r="S112" s="66">
        <f>240235+29000+524100-524100-269235</f>
        <v>0</v>
      </c>
      <c r="T112" s="66">
        <f>689347.7+62400-62400+89795-89795+293889.6-293889.6-689347.7</f>
        <v>0</v>
      </c>
      <c r="U112" s="66">
        <f>53400+527884+563012</f>
        <v>1144296</v>
      </c>
      <c r="V112" s="67">
        <f t="shared" si="1"/>
        <v>1144296</v>
      </c>
    </row>
    <row r="113" spans="1:22" ht="15.75" x14ac:dyDescent="0.25">
      <c r="A113" s="19">
        <v>105</v>
      </c>
      <c r="B113" s="57" t="s">
        <v>251</v>
      </c>
      <c r="C113" s="65" t="s">
        <v>59</v>
      </c>
      <c r="D113" s="65" t="s">
        <v>115</v>
      </c>
      <c r="E113" s="70"/>
      <c r="F113" s="70"/>
      <c r="G113" s="70"/>
      <c r="H113" s="66"/>
      <c r="I113" s="66"/>
      <c r="J113" s="66"/>
      <c r="K113" s="53">
        <f>152570-152570+241120.94-241120.94</f>
        <v>0</v>
      </c>
      <c r="L113" s="53"/>
      <c r="M113" s="53">
        <v>0</v>
      </c>
      <c r="N113" s="66"/>
      <c r="O113" s="66"/>
      <c r="P113" s="66"/>
      <c r="Q113" s="66"/>
      <c r="R113" s="66"/>
      <c r="S113" s="66"/>
      <c r="T113" s="66"/>
      <c r="U113" s="66"/>
      <c r="V113" s="67">
        <f t="shared" si="1"/>
        <v>0</v>
      </c>
    </row>
    <row r="114" spans="1:22" ht="15.75" x14ac:dyDescent="0.25">
      <c r="A114" s="19">
        <v>106</v>
      </c>
      <c r="B114" s="58" t="s">
        <v>252</v>
      </c>
      <c r="C114" s="65" t="s">
        <v>253</v>
      </c>
      <c r="D114" s="65" t="s">
        <v>115</v>
      </c>
      <c r="E114" s="70"/>
      <c r="F114" s="70"/>
      <c r="G114" s="70"/>
      <c r="H114" s="66"/>
      <c r="I114" s="66"/>
      <c r="J114" s="66"/>
      <c r="K114" s="53">
        <f>124218.8-124218.8</f>
        <v>0</v>
      </c>
      <c r="L114" s="53"/>
      <c r="M114" s="53">
        <v>0</v>
      </c>
      <c r="N114" s="66"/>
      <c r="O114" s="66"/>
      <c r="P114" s="66"/>
      <c r="Q114" s="66"/>
      <c r="R114" s="66">
        <f>379391.64-379391.64+136549.6-136549.6</f>
        <v>0</v>
      </c>
      <c r="S114" s="66"/>
      <c r="T114" s="66"/>
      <c r="U114" s="66"/>
      <c r="V114" s="67">
        <f t="shared" si="1"/>
        <v>0</v>
      </c>
    </row>
    <row r="115" spans="1:22" ht="15.75" x14ac:dyDescent="0.25">
      <c r="A115" s="19">
        <v>107</v>
      </c>
      <c r="B115" s="58" t="s">
        <v>255</v>
      </c>
      <c r="C115" s="65" t="s">
        <v>59</v>
      </c>
      <c r="D115" s="65" t="s">
        <v>115</v>
      </c>
      <c r="E115" s="70"/>
      <c r="F115" s="70"/>
      <c r="G115" s="70"/>
      <c r="H115" s="66"/>
      <c r="I115" s="66"/>
      <c r="J115" s="66"/>
      <c r="K115" s="53">
        <f>90000-90000</f>
        <v>0</v>
      </c>
      <c r="L115" s="53"/>
      <c r="M115" s="53">
        <v>0</v>
      </c>
      <c r="N115" s="66"/>
      <c r="O115" s="66"/>
      <c r="P115" s="66"/>
      <c r="Q115" s="66"/>
      <c r="R115" s="66"/>
      <c r="S115" s="66"/>
      <c r="T115" s="66"/>
      <c r="U115" s="66"/>
      <c r="V115" s="67">
        <f t="shared" si="1"/>
        <v>0</v>
      </c>
    </row>
    <row r="116" spans="1:22" ht="15.75" x14ac:dyDescent="0.25">
      <c r="A116" s="19">
        <v>108</v>
      </c>
      <c r="B116" s="58" t="s">
        <v>256</v>
      </c>
      <c r="C116" s="65" t="s">
        <v>257</v>
      </c>
      <c r="D116" s="65" t="s">
        <v>115</v>
      </c>
      <c r="E116" s="70"/>
      <c r="F116" s="70"/>
      <c r="G116" s="70"/>
      <c r="H116" s="66"/>
      <c r="I116" s="66"/>
      <c r="J116" s="66"/>
      <c r="K116" s="53">
        <f>66000-66000</f>
        <v>0</v>
      </c>
      <c r="L116" s="53"/>
      <c r="M116" s="53">
        <v>0</v>
      </c>
      <c r="N116" s="66"/>
      <c r="O116" s="66"/>
      <c r="P116" s="66"/>
      <c r="Q116" s="66"/>
      <c r="R116" s="66"/>
      <c r="S116" s="66"/>
      <c r="T116" s="66"/>
      <c r="U116" s="66"/>
      <c r="V116" s="67">
        <f t="shared" si="1"/>
        <v>0</v>
      </c>
    </row>
    <row r="117" spans="1:22" ht="15.75" x14ac:dyDescent="0.25">
      <c r="A117" s="19">
        <v>109</v>
      </c>
      <c r="B117" s="58" t="s">
        <v>258</v>
      </c>
      <c r="C117" s="65" t="s">
        <v>261</v>
      </c>
      <c r="D117" s="65" t="s">
        <v>115</v>
      </c>
      <c r="E117" s="70"/>
      <c r="F117" s="70"/>
      <c r="G117" s="70"/>
      <c r="H117" s="66"/>
      <c r="I117" s="66"/>
      <c r="J117" s="66"/>
      <c r="K117" s="53"/>
      <c r="L117" s="53"/>
      <c r="M117" s="53">
        <v>0</v>
      </c>
      <c r="N117" s="66"/>
      <c r="O117" s="66"/>
      <c r="P117" s="66"/>
      <c r="Q117" s="66"/>
      <c r="R117" s="66"/>
      <c r="S117" s="66"/>
      <c r="T117" s="66"/>
      <c r="U117" s="66"/>
      <c r="V117" s="67">
        <f t="shared" si="1"/>
        <v>0</v>
      </c>
    </row>
    <row r="118" spans="1:22" ht="15.75" x14ac:dyDescent="0.25">
      <c r="A118" s="19">
        <v>110</v>
      </c>
      <c r="B118" s="58" t="s">
        <v>259</v>
      </c>
      <c r="C118" s="65" t="s">
        <v>246</v>
      </c>
      <c r="D118" s="65" t="s">
        <v>115</v>
      </c>
      <c r="E118" s="70"/>
      <c r="F118" s="70"/>
      <c r="G118" s="70"/>
      <c r="H118" s="66"/>
      <c r="I118" s="66"/>
      <c r="J118" s="66"/>
      <c r="K118" s="53"/>
      <c r="L118" s="53"/>
      <c r="M118" s="53">
        <v>0</v>
      </c>
      <c r="N118" s="66"/>
      <c r="O118" s="66"/>
      <c r="P118" s="66"/>
      <c r="Q118" s="66"/>
      <c r="R118" s="66"/>
      <c r="S118" s="66"/>
      <c r="T118" s="66"/>
      <c r="U118" s="66"/>
      <c r="V118" s="67">
        <f t="shared" si="1"/>
        <v>0</v>
      </c>
    </row>
    <row r="119" spans="1:22" ht="15.75" x14ac:dyDescent="0.25">
      <c r="A119" s="19">
        <v>111</v>
      </c>
      <c r="B119" s="58" t="s">
        <v>260</v>
      </c>
      <c r="C119" s="65" t="s">
        <v>266</v>
      </c>
      <c r="D119" s="65" t="s">
        <v>115</v>
      </c>
      <c r="E119" s="70"/>
      <c r="F119" s="70"/>
      <c r="G119" s="70"/>
      <c r="H119" s="66"/>
      <c r="I119" s="66"/>
      <c r="J119" s="66"/>
      <c r="K119" s="53"/>
      <c r="L119" s="53"/>
      <c r="M119" s="53">
        <f>433675-433675</f>
        <v>0</v>
      </c>
      <c r="N119" s="66">
        <f>314350-314350</f>
        <v>0</v>
      </c>
      <c r="O119" s="66"/>
      <c r="P119" s="66"/>
      <c r="Q119" s="66"/>
      <c r="R119" s="66"/>
      <c r="S119" s="66">
        <f>617000-617000</f>
        <v>0</v>
      </c>
      <c r="T119" s="66"/>
      <c r="U119" s="66"/>
      <c r="V119" s="67">
        <f t="shared" si="1"/>
        <v>0</v>
      </c>
    </row>
    <row r="120" spans="1:22" ht="15.75" x14ac:dyDescent="0.25">
      <c r="A120" s="19">
        <v>112</v>
      </c>
      <c r="B120" s="58" t="s">
        <v>264</v>
      </c>
      <c r="C120" s="65" t="s">
        <v>263</v>
      </c>
      <c r="D120" s="65" t="s">
        <v>115</v>
      </c>
      <c r="E120" s="70"/>
      <c r="F120" s="70"/>
      <c r="G120" s="70"/>
      <c r="H120" s="66"/>
      <c r="I120" s="66"/>
      <c r="J120" s="66"/>
      <c r="K120" s="53">
        <f>28999.99-28999.99</f>
        <v>0</v>
      </c>
      <c r="L120" s="53"/>
      <c r="M120" s="53">
        <v>0</v>
      </c>
      <c r="N120" s="66"/>
      <c r="O120" s="66"/>
      <c r="P120" s="66"/>
      <c r="Q120" s="66"/>
      <c r="R120" s="66"/>
      <c r="S120" s="66"/>
      <c r="T120" s="66"/>
      <c r="U120" s="66"/>
      <c r="V120" s="67">
        <f t="shared" si="1"/>
        <v>0</v>
      </c>
    </row>
    <row r="121" spans="1:22" ht="15.75" x14ac:dyDescent="0.25">
      <c r="A121" s="19">
        <v>113</v>
      </c>
      <c r="B121" s="58" t="s">
        <v>265</v>
      </c>
      <c r="C121" s="65" t="s">
        <v>266</v>
      </c>
      <c r="D121" s="65" t="s">
        <v>115</v>
      </c>
      <c r="E121" s="70"/>
      <c r="F121" s="70"/>
      <c r="G121" s="70"/>
      <c r="H121" s="66"/>
      <c r="I121" s="66"/>
      <c r="J121" s="66"/>
      <c r="K121" s="53">
        <f>106835+2690.99-106835-2690.99</f>
        <v>5.4569682106375694E-12</v>
      </c>
      <c r="L121" s="53">
        <f>106756-106756</f>
        <v>0</v>
      </c>
      <c r="M121" s="53">
        <f>106835-106835</f>
        <v>0</v>
      </c>
      <c r="N121" s="66">
        <f>72258-72258</f>
        <v>0</v>
      </c>
      <c r="O121" s="66"/>
      <c r="P121" s="66"/>
      <c r="Q121" s="66"/>
      <c r="R121" s="66"/>
      <c r="S121" s="66"/>
      <c r="T121" s="66"/>
      <c r="U121" s="66"/>
      <c r="V121" s="67">
        <f t="shared" si="1"/>
        <v>5.4569682106375694E-12</v>
      </c>
    </row>
    <row r="122" spans="1:22" ht="15.75" x14ac:dyDescent="0.25">
      <c r="A122" s="19">
        <v>114</v>
      </c>
      <c r="B122" s="58" t="s">
        <v>267</v>
      </c>
      <c r="C122" s="65" t="s">
        <v>266</v>
      </c>
      <c r="D122" s="65" t="s">
        <v>115</v>
      </c>
      <c r="E122" s="70"/>
      <c r="F122" s="70"/>
      <c r="G122" s="70"/>
      <c r="H122" s="66"/>
      <c r="I122" s="66"/>
      <c r="J122" s="66"/>
      <c r="K122" s="53">
        <f>24342.34-24342.34</f>
        <v>0</v>
      </c>
      <c r="L122" s="53">
        <f>24342.34-24342.34</f>
        <v>0</v>
      </c>
      <c r="M122" s="53">
        <f>33061-33061</f>
        <v>0</v>
      </c>
      <c r="N122" s="66"/>
      <c r="O122" s="66"/>
      <c r="P122" s="66"/>
      <c r="Q122" s="66"/>
      <c r="R122" s="66"/>
      <c r="S122" s="66"/>
      <c r="T122" s="66"/>
      <c r="U122" s="66"/>
      <c r="V122" s="67">
        <f t="shared" si="1"/>
        <v>0</v>
      </c>
    </row>
    <row r="123" spans="1:22" ht="15.75" x14ac:dyDescent="0.25">
      <c r="A123" s="19">
        <v>115</v>
      </c>
      <c r="B123" s="58" t="s">
        <v>268</v>
      </c>
      <c r="C123" s="65" t="s">
        <v>266</v>
      </c>
      <c r="D123" s="65" t="s">
        <v>115</v>
      </c>
      <c r="E123" s="70"/>
      <c r="F123" s="70"/>
      <c r="G123" s="70"/>
      <c r="H123" s="66"/>
      <c r="I123" s="66"/>
      <c r="J123" s="66"/>
      <c r="K123" s="53">
        <f>123900-123900</f>
        <v>0</v>
      </c>
      <c r="L123" s="53"/>
      <c r="M123" s="53">
        <f>42480-42480</f>
        <v>0</v>
      </c>
      <c r="N123" s="66"/>
      <c r="O123" s="66">
        <f>42480-42480</f>
        <v>0</v>
      </c>
      <c r="P123" s="66"/>
      <c r="Q123" s="66"/>
      <c r="R123" s="66"/>
      <c r="S123" s="66"/>
      <c r="T123" s="66"/>
      <c r="U123" s="66"/>
      <c r="V123" s="67">
        <f t="shared" si="1"/>
        <v>0</v>
      </c>
    </row>
    <row r="124" spans="1:22" ht="15.75" x14ac:dyDescent="0.25">
      <c r="A124" s="19">
        <v>116</v>
      </c>
      <c r="B124" s="58" t="s">
        <v>269</v>
      </c>
      <c r="C124" s="65" t="s">
        <v>59</v>
      </c>
      <c r="D124" s="65" t="s">
        <v>115</v>
      </c>
      <c r="E124" s="70"/>
      <c r="F124" s="70"/>
      <c r="G124" s="70"/>
      <c r="H124" s="66"/>
      <c r="I124" s="66"/>
      <c r="J124" s="66"/>
      <c r="K124" s="53">
        <f>24000-24000</f>
        <v>0</v>
      </c>
      <c r="L124" s="53"/>
      <c r="M124" s="53">
        <v>0</v>
      </c>
      <c r="N124" s="66"/>
      <c r="O124" s="66"/>
      <c r="P124" s="66"/>
      <c r="Q124" s="66"/>
      <c r="R124" s="66"/>
      <c r="S124" s="66"/>
      <c r="T124" s="66"/>
      <c r="U124" s="66"/>
      <c r="V124" s="67">
        <f t="shared" si="1"/>
        <v>0</v>
      </c>
    </row>
    <row r="125" spans="1:22" ht="15.75" x14ac:dyDescent="0.25">
      <c r="A125" s="19">
        <v>117</v>
      </c>
      <c r="B125" s="57" t="s">
        <v>270</v>
      </c>
      <c r="C125" s="65" t="s">
        <v>266</v>
      </c>
      <c r="D125" s="65" t="s">
        <v>115</v>
      </c>
      <c r="E125" s="70"/>
      <c r="F125" s="70"/>
      <c r="G125" s="70"/>
      <c r="H125" s="66"/>
      <c r="I125" s="66"/>
      <c r="J125" s="66"/>
      <c r="K125" s="53">
        <f>164659.56-164659.56</f>
        <v>0</v>
      </c>
      <c r="L125" s="53"/>
      <c r="M125" s="53">
        <v>0</v>
      </c>
      <c r="N125" s="66"/>
      <c r="O125" s="66"/>
      <c r="P125" s="66"/>
      <c r="Q125" s="66"/>
      <c r="R125" s="66"/>
      <c r="S125" s="66"/>
      <c r="T125" s="66"/>
      <c r="U125" s="66"/>
      <c r="V125" s="67">
        <f t="shared" si="1"/>
        <v>0</v>
      </c>
    </row>
    <row r="126" spans="1:22" ht="15.75" x14ac:dyDescent="0.25">
      <c r="A126" s="19">
        <v>118</v>
      </c>
      <c r="B126" s="57" t="s">
        <v>271</v>
      </c>
      <c r="C126" s="65" t="s">
        <v>272</v>
      </c>
      <c r="D126" s="65" t="s">
        <v>115</v>
      </c>
      <c r="E126" s="70"/>
      <c r="F126" s="70"/>
      <c r="G126" s="70"/>
      <c r="H126" s="66"/>
      <c r="I126" s="66"/>
      <c r="J126" s="66"/>
      <c r="K126" s="53">
        <f>51477.5-51477.5</f>
        <v>0</v>
      </c>
      <c r="L126" s="53"/>
      <c r="M126" s="53">
        <v>0</v>
      </c>
      <c r="N126" s="66"/>
      <c r="O126" s="66"/>
      <c r="P126" s="66"/>
      <c r="Q126" s="66"/>
      <c r="R126" s="66"/>
      <c r="S126" s="66"/>
      <c r="T126" s="66"/>
      <c r="U126" s="66">
        <v>49843.199999999997</v>
      </c>
      <c r="V126" s="67">
        <f t="shared" si="1"/>
        <v>49843.199999999997</v>
      </c>
    </row>
    <row r="127" spans="1:22" ht="15.75" x14ac:dyDescent="0.25">
      <c r="A127" s="19">
        <v>119</v>
      </c>
      <c r="B127" s="57" t="s">
        <v>275</v>
      </c>
      <c r="C127" s="65" t="s">
        <v>276</v>
      </c>
      <c r="D127" s="65" t="s">
        <v>115</v>
      </c>
      <c r="E127" s="70"/>
      <c r="F127" s="70"/>
      <c r="G127" s="70"/>
      <c r="H127" s="66"/>
      <c r="I127" s="66"/>
      <c r="J127" s="66"/>
      <c r="K127" s="53"/>
      <c r="L127" s="53">
        <f>109717.2-109717.2</f>
        <v>0</v>
      </c>
      <c r="M127" s="53">
        <v>0</v>
      </c>
      <c r="N127" s="66"/>
      <c r="O127" s="66"/>
      <c r="P127" s="66"/>
      <c r="Q127" s="66"/>
      <c r="R127" s="66"/>
      <c r="S127" s="66"/>
      <c r="T127" s="66"/>
      <c r="U127" s="66"/>
      <c r="V127" s="67">
        <f t="shared" si="1"/>
        <v>0</v>
      </c>
    </row>
    <row r="128" spans="1:22" ht="15.75" x14ac:dyDescent="0.25">
      <c r="A128" s="19">
        <v>120</v>
      </c>
      <c r="B128" s="57" t="s">
        <v>277</v>
      </c>
      <c r="C128" s="65" t="s">
        <v>184</v>
      </c>
      <c r="D128" s="65" t="s">
        <v>115</v>
      </c>
      <c r="E128" s="70"/>
      <c r="F128" s="70"/>
      <c r="G128" s="70" t="s">
        <v>136</v>
      </c>
      <c r="H128" s="66"/>
      <c r="I128" s="66"/>
      <c r="J128" s="66"/>
      <c r="K128" s="53"/>
      <c r="L128" s="53">
        <f t="shared" ref="L128:Q128" si="2">300000-300000</f>
        <v>0</v>
      </c>
      <c r="M128" s="53">
        <f t="shared" si="2"/>
        <v>0</v>
      </c>
      <c r="N128" s="66">
        <f t="shared" si="2"/>
        <v>0</v>
      </c>
      <c r="O128" s="66">
        <f t="shared" si="2"/>
        <v>0</v>
      </c>
      <c r="P128" s="66">
        <f t="shared" si="2"/>
        <v>0</v>
      </c>
      <c r="Q128" s="66">
        <f t="shared" si="2"/>
        <v>0</v>
      </c>
      <c r="R128" s="66">
        <f>300000-300000</f>
        <v>0</v>
      </c>
      <c r="S128" s="66">
        <f>300000-300000</f>
        <v>0</v>
      </c>
      <c r="T128" s="66">
        <f>300000-300000</f>
        <v>0</v>
      </c>
      <c r="U128" s="66">
        <v>300000</v>
      </c>
      <c r="V128" s="67">
        <f t="shared" si="1"/>
        <v>300000</v>
      </c>
    </row>
    <row r="129" spans="1:22" ht="15.75" x14ac:dyDescent="0.25">
      <c r="A129" s="19">
        <v>121</v>
      </c>
      <c r="B129" s="58" t="s">
        <v>278</v>
      </c>
      <c r="C129" s="65" t="s">
        <v>279</v>
      </c>
      <c r="D129" s="65" t="s">
        <v>115</v>
      </c>
      <c r="E129" s="70"/>
      <c r="F129" s="70"/>
      <c r="G129" s="70"/>
      <c r="H129" s="66"/>
      <c r="I129" s="66"/>
      <c r="J129" s="66"/>
      <c r="K129" s="53"/>
      <c r="L129" s="53"/>
      <c r="M129" s="53">
        <f>129612.85-129612.85</f>
        <v>0</v>
      </c>
      <c r="N129" s="66"/>
      <c r="O129" s="66"/>
      <c r="P129" s="66"/>
      <c r="Q129" s="66"/>
      <c r="R129" s="66">
        <f>389449.56-389449.56</f>
        <v>0</v>
      </c>
      <c r="S129" s="66"/>
      <c r="T129" s="66"/>
      <c r="U129" s="66"/>
      <c r="V129" s="67">
        <f t="shared" si="1"/>
        <v>0</v>
      </c>
    </row>
    <row r="130" spans="1:22" ht="15.75" x14ac:dyDescent="0.25">
      <c r="A130" s="19">
        <v>122</v>
      </c>
      <c r="B130" s="58" t="s">
        <v>280</v>
      </c>
      <c r="C130" s="65" t="s">
        <v>281</v>
      </c>
      <c r="D130" s="65" t="s">
        <v>115</v>
      </c>
      <c r="E130" s="70"/>
      <c r="F130" s="70"/>
      <c r="G130" s="70"/>
      <c r="H130" s="66"/>
      <c r="I130" s="66"/>
      <c r="J130" s="66"/>
      <c r="K130" s="53"/>
      <c r="L130" s="53"/>
      <c r="M130" s="53">
        <f>4000-4000</f>
        <v>0</v>
      </c>
      <c r="N130" s="66"/>
      <c r="O130" s="66">
        <f>165000-165000</f>
        <v>0</v>
      </c>
      <c r="P130" s="66"/>
      <c r="Q130" s="66"/>
      <c r="R130" s="66"/>
      <c r="S130" s="66">
        <f>226000-226000</f>
        <v>0</v>
      </c>
      <c r="T130" s="66"/>
      <c r="U130" s="66"/>
      <c r="V130" s="67">
        <f t="shared" si="1"/>
        <v>0</v>
      </c>
    </row>
    <row r="131" spans="1:22" ht="15.75" x14ac:dyDescent="0.25">
      <c r="A131" s="19">
        <v>123</v>
      </c>
      <c r="B131" s="57" t="s">
        <v>337</v>
      </c>
      <c r="C131" s="65" t="s">
        <v>246</v>
      </c>
      <c r="D131" s="65" t="s">
        <v>115</v>
      </c>
      <c r="E131" s="70"/>
      <c r="F131" s="70"/>
      <c r="G131" s="70"/>
      <c r="H131" s="66"/>
      <c r="I131" s="66"/>
      <c r="J131" s="66"/>
      <c r="K131" s="53"/>
      <c r="L131" s="53"/>
      <c r="M131" s="53"/>
      <c r="N131" s="66">
        <f>32213.92-32213.92</f>
        <v>0</v>
      </c>
      <c r="O131" s="66"/>
      <c r="P131" s="66"/>
      <c r="Q131" s="66"/>
      <c r="R131" s="66">
        <f>209691.37-209691.37</f>
        <v>0</v>
      </c>
      <c r="S131" s="66"/>
      <c r="T131" s="66">
        <f>83240.02-83240.02</f>
        <v>0</v>
      </c>
      <c r="U131" s="66"/>
      <c r="V131" s="67">
        <f t="shared" si="1"/>
        <v>0</v>
      </c>
    </row>
    <row r="132" spans="1:22" ht="15.75" x14ac:dyDescent="0.25">
      <c r="A132" s="19">
        <v>124</v>
      </c>
      <c r="B132" s="57" t="s">
        <v>339</v>
      </c>
      <c r="C132" s="65" t="s">
        <v>340</v>
      </c>
      <c r="D132" s="65" t="s">
        <v>115</v>
      </c>
      <c r="E132" s="70"/>
      <c r="F132" s="70"/>
      <c r="G132" s="70"/>
      <c r="H132" s="66"/>
      <c r="I132" s="66"/>
      <c r="J132" s="66"/>
      <c r="K132" s="53"/>
      <c r="L132" s="53"/>
      <c r="M132" s="53"/>
      <c r="N132" s="66">
        <f>23836-23836</f>
        <v>0</v>
      </c>
      <c r="O132" s="66"/>
      <c r="P132" s="66"/>
      <c r="Q132" s="66"/>
      <c r="R132" s="66"/>
      <c r="S132" s="66"/>
      <c r="T132" s="66"/>
      <c r="U132" s="66"/>
      <c r="V132" s="67">
        <f t="shared" si="1"/>
        <v>0</v>
      </c>
    </row>
    <row r="133" spans="1:22" ht="15.75" x14ac:dyDescent="0.25">
      <c r="A133" s="19">
        <v>125</v>
      </c>
      <c r="B133" s="57" t="s">
        <v>341</v>
      </c>
      <c r="C133" s="65" t="s">
        <v>266</v>
      </c>
      <c r="D133" s="65" t="s">
        <v>115</v>
      </c>
      <c r="E133" s="70"/>
      <c r="F133" s="70"/>
      <c r="G133" s="70"/>
      <c r="H133" s="66"/>
      <c r="I133" s="66"/>
      <c r="J133" s="66"/>
      <c r="K133" s="53"/>
      <c r="L133" s="53"/>
      <c r="M133" s="53"/>
      <c r="N133" s="66">
        <f>27612-27612+49088-49088</f>
        <v>0</v>
      </c>
      <c r="O133" s="66"/>
      <c r="P133" s="66">
        <f>21476+85000-106476</f>
        <v>0</v>
      </c>
      <c r="Q133" s="66">
        <f>73500-73500</f>
        <v>0</v>
      </c>
      <c r="R133" s="66"/>
      <c r="S133" s="66">
        <f>60000-60000</f>
        <v>0</v>
      </c>
      <c r="T133" s="66"/>
      <c r="U133" s="66"/>
      <c r="V133" s="67">
        <f t="shared" si="1"/>
        <v>0</v>
      </c>
    </row>
    <row r="134" spans="1:22" x14ac:dyDescent="0.25">
      <c r="A134" s="19">
        <v>126</v>
      </c>
      <c r="B134" s="113" t="s">
        <v>350</v>
      </c>
      <c r="C134" s="113" t="s">
        <v>351</v>
      </c>
      <c r="D134" s="65" t="s">
        <v>115</v>
      </c>
      <c r="E134" s="70"/>
      <c r="F134" s="70"/>
      <c r="G134" s="70"/>
      <c r="H134" s="66"/>
      <c r="I134" s="66"/>
      <c r="J134" s="66"/>
      <c r="K134" s="53"/>
      <c r="L134" s="53"/>
      <c r="M134" s="53"/>
      <c r="N134" s="66"/>
      <c r="O134" s="66">
        <f>97550-97550</f>
        <v>0</v>
      </c>
      <c r="P134" s="66">
        <f>108050-108050</f>
        <v>0</v>
      </c>
      <c r="Q134" s="66"/>
      <c r="R134" s="66"/>
      <c r="S134" s="66"/>
      <c r="T134" s="66"/>
      <c r="U134" s="66"/>
      <c r="V134" s="67">
        <f t="shared" si="1"/>
        <v>0</v>
      </c>
    </row>
    <row r="135" spans="1:22" x14ac:dyDescent="0.25">
      <c r="A135" s="19">
        <v>127</v>
      </c>
      <c r="B135" s="113" t="s">
        <v>352</v>
      </c>
      <c r="C135" s="113" t="s">
        <v>353</v>
      </c>
      <c r="D135" s="65" t="s">
        <v>115</v>
      </c>
      <c r="E135" s="70"/>
      <c r="F135" s="70"/>
      <c r="G135" s="70"/>
      <c r="H135" s="66"/>
      <c r="I135" s="66"/>
      <c r="J135" s="66"/>
      <c r="K135" s="53"/>
      <c r="L135" s="53"/>
      <c r="M135" s="53"/>
      <c r="N135" s="66">
        <f>25606-25606</f>
        <v>0</v>
      </c>
      <c r="O135" s="66"/>
      <c r="P135" s="66"/>
      <c r="Q135" s="66"/>
      <c r="R135" s="66"/>
      <c r="S135" s="66"/>
      <c r="T135" s="66"/>
      <c r="U135" s="66"/>
      <c r="V135" s="67">
        <f t="shared" si="1"/>
        <v>0</v>
      </c>
    </row>
    <row r="136" spans="1:22" ht="15.75" x14ac:dyDescent="0.25">
      <c r="A136" s="19">
        <v>128</v>
      </c>
      <c r="B136" s="58" t="s">
        <v>354</v>
      </c>
      <c r="C136" s="65" t="s">
        <v>266</v>
      </c>
      <c r="D136" s="65" t="s">
        <v>115</v>
      </c>
      <c r="E136" s="70"/>
      <c r="F136" s="70"/>
      <c r="G136" s="70"/>
      <c r="H136" s="66"/>
      <c r="I136" s="66"/>
      <c r="J136" s="66"/>
      <c r="K136" s="53"/>
      <c r="L136" s="53"/>
      <c r="M136" s="53"/>
      <c r="N136" s="66">
        <f>57000-57000</f>
        <v>0</v>
      </c>
      <c r="O136" s="66">
        <f>57000-57000</f>
        <v>0</v>
      </c>
      <c r="P136" s="66">
        <f>57000-57000</f>
        <v>0</v>
      </c>
      <c r="Q136" s="66"/>
      <c r="R136" s="66"/>
      <c r="S136" s="66"/>
      <c r="T136" s="66"/>
      <c r="U136" s="66"/>
      <c r="V136" s="67">
        <f t="shared" si="1"/>
        <v>0</v>
      </c>
    </row>
    <row r="137" spans="1:22" ht="15.75" x14ac:dyDescent="0.25">
      <c r="A137" s="19">
        <v>129</v>
      </c>
      <c r="B137" s="58" t="s">
        <v>355</v>
      </c>
      <c r="C137" s="65" t="s">
        <v>356</v>
      </c>
      <c r="D137" s="65" t="s">
        <v>115</v>
      </c>
      <c r="E137" s="70"/>
      <c r="F137" s="70"/>
      <c r="G137" s="70"/>
      <c r="H137" s="66"/>
      <c r="I137" s="66"/>
      <c r="J137" s="66"/>
      <c r="K137" s="53"/>
      <c r="L137" s="53"/>
      <c r="M137" s="53"/>
      <c r="N137" s="66"/>
      <c r="O137" s="66">
        <f>106495-106495</f>
        <v>0</v>
      </c>
      <c r="P137" s="66"/>
      <c r="Q137" s="66"/>
      <c r="R137" s="66"/>
      <c r="S137" s="66"/>
      <c r="T137" s="66"/>
      <c r="U137" s="66"/>
      <c r="V137" s="67">
        <f t="shared" si="1"/>
        <v>0</v>
      </c>
    </row>
    <row r="138" spans="1:22" ht="15.75" x14ac:dyDescent="0.25">
      <c r="A138" s="19">
        <v>130</v>
      </c>
      <c r="B138" s="58" t="s">
        <v>358</v>
      </c>
      <c r="C138" s="65" t="s">
        <v>359</v>
      </c>
      <c r="D138" s="65" t="s">
        <v>115</v>
      </c>
      <c r="E138" s="70"/>
      <c r="F138" s="70"/>
      <c r="G138" s="70"/>
      <c r="H138" s="66"/>
      <c r="I138" s="66"/>
      <c r="J138" s="66"/>
      <c r="K138" s="53"/>
      <c r="L138" s="53"/>
      <c r="M138" s="53"/>
      <c r="N138" s="66"/>
      <c r="O138" s="66"/>
      <c r="P138" s="66">
        <f>28813.52-28813.52</f>
        <v>0</v>
      </c>
      <c r="Q138" s="66">
        <f>197060-197060+233640-233640</f>
        <v>0</v>
      </c>
      <c r="R138" s="66">
        <f>269781.04-269781.04</f>
        <v>0</v>
      </c>
      <c r="S138" s="66">
        <f>37844.96-37844.96</f>
        <v>0</v>
      </c>
      <c r="T138" s="66"/>
      <c r="U138" s="66">
        <v>94551.039999999994</v>
      </c>
      <c r="V138" s="67">
        <f t="shared" ref="V138:V152" si="3">SUM(E138:U138)</f>
        <v>94551.039999999994</v>
      </c>
    </row>
    <row r="139" spans="1:22" ht="15.75" x14ac:dyDescent="0.25">
      <c r="A139" s="19">
        <v>131</v>
      </c>
      <c r="B139" s="58" t="s">
        <v>360</v>
      </c>
      <c r="C139" s="65" t="s">
        <v>361</v>
      </c>
      <c r="D139" s="65" t="s">
        <v>115</v>
      </c>
      <c r="E139" s="70"/>
      <c r="F139" s="70"/>
      <c r="G139" s="70"/>
      <c r="H139" s="66"/>
      <c r="I139" s="66"/>
      <c r="J139" s="66"/>
      <c r="K139" s="53"/>
      <c r="L139" s="53"/>
      <c r="M139" s="53"/>
      <c r="N139" s="66">
        <f>6663.12-6663.12</f>
        <v>0</v>
      </c>
      <c r="O139" s="66"/>
      <c r="P139" s="66"/>
      <c r="Q139" s="66"/>
      <c r="R139" s="66"/>
      <c r="S139" s="66"/>
      <c r="T139" s="66"/>
      <c r="U139" s="66"/>
      <c r="V139" s="67">
        <f t="shared" si="3"/>
        <v>0</v>
      </c>
    </row>
    <row r="140" spans="1:22" ht="15.75" x14ac:dyDescent="0.25">
      <c r="A140" s="19">
        <v>132</v>
      </c>
      <c r="B140" s="58" t="s">
        <v>362</v>
      </c>
      <c r="C140" s="65" t="s">
        <v>281</v>
      </c>
      <c r="D140" s="65" t="s">
        <v>115</v>
      </c>
      <c r="E140" s="70"/>
      <c r="F140" s="70"/>
      <c r="G140" s="70"/>
      <c r="H140" s="66"/>
      <c r="I140" s="66"/>
      <c r="J140" s="66"/>
      <c r="K140" s="53"/>
      <c r="L140" s="53"/>
      <c r="M140" s="53"/>
      <c r="N140" s="66"/>
      <c r="O140" s="66"/>
      <c r="P140" s="66">
        <f>72000+91425-163425</f>
        <v>0</v>
      </c>
      <c r="Q140" s="66"/>
      <c r="R140" s="66">
        <f>135350-135350</f>
        <v>0</v>
      </c>
      <c r="S140" s="66">
        <f>50900+57600-57600-50900</f>
        <v>0</v>
      </c>
      <c r="T140" s="66"/>
      <c r="U140" s="66">
        <f>70700+42590+15300</f>
        <v>128590</v>
      </c>
      <c r="V140" s="67">
        <f t="shared" si="3"/>
        <v>128590</v>
      </c>
    </row>
    <row r="141" spans="1:22" ht="15.75" x14ac:dyDescent="0.25">
      <c r="A141" s="19">
        <v>133</v>
      </c>
      <c r="B141" s="58" t="s">
        <v>363</v>
      </c>
      <c r="C141" s="65" t="s">
        <v>281</v>
      </c>
      <c r="D141" s="65" t="s">
        <v>115</v>
      </c>
      <c r="E141" s="70"/>
      <c r="F141" s="70"/>
      <c r="G141" s="70"/>
      <c r="H141" s="66"/>
      <c r="I141" s="66"/>
      <c r="J141" s="66"/>
      <c r="K141" s="53"/>
      <c r="L141" s="53"/>
      <c r="M141" s="53"/>
      <c r="N141" s="66"/>
      <c r="O141" s="66"/>
      <c r="P141" s="66">
        <f>130000-130000</f>
        <v>0</v>
      </c>
      <c r="Q141" s="66"/>
      <c r="R141" s="66"/>
      <c r="S141" s="66"/>
      <c r="T141" s="66"/>
      <c r="U141" s="66"/>
      <c r="V141" s="67">
        <f t="shared" si="3"/>
        <v>0</v>
      </c>
    </row>
    <row r="142" spans="1:22" ht="15.75" x14ac:dyDescent="0.25">
      <c r="A142" s="19">
        <v>134</v>
      </c>
      <c r="B142" s="58" t="s">
        <v>371</v>
      </c>
      <c r="C142" s="122" t="s">
        <v>373</v>
      </c>
      <c r="D142" s="65" t="s">
        <v>115</v>
      </c>
      <c r="E142" s="70"/>
      <c r="F142" s="70"/>
      <c r="G142" s="70"/>
      <c r="H142" s="66"/>
      <c r="I142" s="66"/>
      <c r="J142" s="66"/>
      <c r="K142" s="53"/>
      <c r="L142" s="53"/>
      <c r="M142" s="53"/>
      <c r="N142" s="66"/>
      <c r="O142" s="66"/>
      <c r="P142" s="66"/>
      <c r="Q142" s="66">
        <f>34600-34600</f>
        <v>0</v>
      </c>
      <c r="R142" s="66">
        <f>27300-27300</f>
        <v>0</v>
      </c>
      <c r="S142" s="66"/>
      <c r="T142" s="66"/>
      <c r="U142" s="66"/>
      <c r="V142" s="67">
        <f t="shared" si="3"/>
        <v>0</v>
      </c>
    </row>
    <row r="143" spans="1:22" ht="15.75" x14ac:dyDescent="0.25">
      <c r="A143" s="19">
        <v>135</v>
      </c>
      <c r="B143" s="58" t="s">
        <v>372</v>
      </c>
      <c r="C143" s="122" t="s">
        <v>374</v>
      </c>
      <c r="D143" s="65" t="s">
        <v>115</v>
      </c>
      <c r="E143" s="70"/>
      <c r="F143" s="70"/>
      <c r="G143" s="70"/>
      <c r="H143" s="66"/>
      <c r="I143" s="66"/>
      <c r="J143" s="66"/>
      <c r="K143" s="53"/>
      <c r="L143" s="53"/>
      <c r="M143" s="53"/>
      <c r="N143" s="66"/>
      <c r="O143" s="66"/>
      <c r="P143" s="66"/>
      <c r="Q143" s="66">
        <f>146733-146733</f>
        <v>0</v>
      </c>
      <c r="R143" s="66"/>
      <c r="S143" s="66"/>
      <c r="T143" s="66"/>
      <c r="U143" s="66"/>
      <c r="V143" s="67">
        <f t="shared" si="3"/>
        <v>0</v>
      </c>
    </row>
    <row r="144" spans="1:22" ht="15.75" x14ac:dyDescent="0.25">
      <c r="A144" s="19">
        <v>136</v>
      </c>
      <c r="B144" s="58" t="s">
        <v>376</v>
      </c>
      <c r="C144" s="65" t="s">
        <v>281</v>
      </c>
      <c r="D144" s="65" t="s">
        <v>115</v>
      </c>
      <c r="E144" s="70"/>
      <c r="F144" s="70"/>
      <c r="G144" s="70"/>
      <c r="H144" s="66"/>
      <c r="I144" s="66"/>
      <c r="J144" s="66"/>
      <c r="K144" s="53"/>
      <c r="L144" s="53"/>
      <c r="M144" s="53"/>
      <c r="N144" s="66"/>
      <c r="O144" s="66"/>
      <c r="P144" s="66"/>
      <c r="Q144" s="66"/>
      <c r="R144" s="66">
        <f>27500-27500</f>
        <v>0</v>
      </c>
      <c r="S144" s="66"/>
      <c r="T144" s="66"/>
      <c r="U144" s="66"/>
      <c r="V144" s="67">
        <f t="shared" si="3"/>
        <v>0</v>
      </c>
    </row>
    <row r="145" spans="1:22" ht="15.75" x14ac:dyDescent="0.25">
      <c r="A145" s="19">
        <v>137</v>
      </c>
      <c r="B145" s="58" t="s">
        <v>379</v>
      </c>
      <c r="C145" s="65" t="s">
        <v>380</v>
      </c>
      <c r="D145" s="65" t="s">
        <v>115</v>
      </c>
      <c r="E145" s="70"/>
      <c r="F145" s="70"/>
      <c r="G145" s="70"/>
      <c r="H145" s="66"/>
      <c r="I145" s="66"/>
      <c r="J145" s="66"/>
      <c r="K145" s="53"/>
      <c r="L145" s="53"/>
      <c r="M145" s="53"/>
      <c r="N145" s="66"/>
      <c r="O145" s="66"/>
      <c r="P145" s="66"/>
      <c r="Q145" s="66"/>
      <c r="R145" s="66"/>
      <c r="S145" s="66"/>
      <c r="T145" s="66">
        <f>18500+18500-18500</f>
        <v>18500</v>
      </c>
      <c r="U145" s="66"/>
      <c r="V145" s="67">
        <f t="shared" si="3"/>
        <v>18500</v>
      </c>
    </row>
    <row r="146" spans="1:22" ht="15.75" x14ac:dyDescent="0.25">
      <c r="A146" s="19">
        <v>138</v>
      </c>
      <c r="B146" s="58" t="s">
        <v>381</v>
      </c>
      <c r="C146" s="65" t="s">
        <v>383</v>
      </c>
      <c r="D146" s="65" t="s">
        <v>115</v>
      </c>
      <c r="E146" s="70"/>
      <c r="F146" s="70"/>
      <c r="G146" s="70"/>
      <c r="H146" s="66"/>
      <c r="I146" s="66"/>
      <c r="J146" s="66"/>
      <c r="K146" s="53"/>
      <c r="L146" s="53"/>
      <c r="M146" s="53"/>
      <c r="N146" s="66"/>
      <c r="O146" s="66"/>
      <c r="P146" s="66"/>
      <c r="Q146" s="66"/>
      <c r="R146" s="66"/>
      <c r="S146" s="66"/>
      <c r="T146" s="66">
        <f>23600-23600</f>
        <v>0</v>
      </c>
      <c r="U146" s="66"/>
      <c r="V146" s="67">
        <f t="shared" si="3"/>
        <v>0</v>
      </c>
    </row>
    <row r="147" spans="1:22" x14ac:dyDescent="0.25">
      <c r="A147" s="19">
        <v>139</v>
      </c>
      <c r="B147" s="19" t="s">
        <v>382</v>
      </c>
      <c r="C147" s="65" t="s">
        <v>384</v>
      </c>
      <c r="D147" s="65" t="s">
        <v>115</v>
      </c>
      <c r="E147" s="70"/>
      <c r="F147" s="70"/>
      <c r="G147" s="70"/>
      <c r="H147" s="66"/>
      <c r="I147" s="66"/>
      <c r="J147" s="66"/>
      <c r="K147" s="53"/>
      <c r="L147" s="53"/>
      <c r="M147" s="53"/>
      <c r="N147" s="66"/>
      <c r="O147" s="66"/>
      <c r="P147" s="66"/>
      <c r="Q147" s="66"/>
      <c r="R147" s="66"/>
      <c r="S147" s="66"/>
      <c r="T147" s="66">
        <f>159660.7+153220.65-33942.7-125718</f>
        <v>153220.64999999997</v>
      </c>
      <c r="U147" s="66">
        <f>153220.65+29300</f>
        <v>182520.65</v>
      </c>
      <c r="V147" s="67">
        <f t="shared" si="3"/>
        <v>335741.29999999993</v>
      </c>
    </row>
    <row r="148" spans="1:22" ht="15.75" x14ac:dyDescent="0.25">
      <c r="A148" s="19">
        <v>140</v>
      </c>
      <c r="B148" s="57" t="s">
        <v>392</v>
      </c>
      <c r="C148" s="65" t="s">
        <v>393</v>
      </c>
      <c r="D148" s="65" t="s">
        <v>115</v>
      </c>
      <c r="E148" s="70"/>
      <c r="F148" s="70"/>
      <c r="G148" s="70"/>
      <c r="H148" s="66"/>
      <c r="I148" s="66"/>
      <c r="J148" s="66"/>
      <c r="K148" s="53"/>
      <c r="L148" s="53"/>
      <c r="M148" s="53"/>
      <c r="N148" s="66"/>
      <c r="O148" s="66"/>
      <c r="P148" s="66"/>
      <c r="Q148" s="66"/>
      <c r="R148" s="66"/>
      <c r="S148" s="66"/>
      <c r="T148" s="66">
        <f>59590-59590</f>
        <v>0</v>
      </c>
      <c r="U148" s="66"/>
      <c r="V148" s="67">
        <f t="shared" si="3"/>
        <v>0</v>
      </c>
    </row>
    <row r="149" spans="1:22" ht="15.75" x14ac:dyDescent="0.25">
      <c r="A149" s="19">
        <v>141</v>
      </c>
      <c r="B149" s="57" t="s">
        <v>395</v>
      </c>
      <c r="C149" s="65" t="s">
        <v>396</v>
      </c>
      <c r="D149" s="65" t="s">
        <v>115</v>
      </c>
      <c r="E149" s="70"/>
      <c r="F149" s="70"/>
      <c r="G149" s="70"/>
      <c r="H149" s="66"/>
      <c r="I149" s="66"/>
      <c r="J149" s="66"/>
      <c r="K149" s="53"/>
      <c r="L149" s="53"/>
      <c r="M149" s="53"/>
      <c r="N149" s="66"/>
      <c r="O149" s="66"/>
      <c r="P149" s="66"/>
      <c r="Q149" s="66"/>
      <c r="R149" s="66"/>
      <c r="S149" s="66"/>
      <c r="T149" s="66"/>
      <c r="U149" s="66">
        <v>7500</v>
      </c>
      <c r="V149" s="67">
        <f t="shared" si="3"/>
        <v>7500</v>
      </c>
    </row>
    <row r="150" spans="1:22" ht="15.75" x14ac:dyDescent="0.25">
      <c r="A150" s="19"/>
      <c r="B150" s="57"/>
      <c r="C150" s="65"/>
      <c r="D150" s="65" t="s">
        <v>115</v>
      </c>
      <c r="E150" s="70"/>
      <c r="F150" s="70"/>
      <c r="G150" s="70"/>
      <c r="H150" s="66"/>
      <c r="I150" s="66"/>
      <c r="J150" s="66"/>
      <c r="K150" s="53"/>
      <c r="L150" s="53"/>
      <c r="M150" s="53"/>
      <c r="N150" s="66"/>
      <c r="O150" s="66"/>
      <c r="P150" s="66"/>
      <c r="Q150" s="66"/>
      <c r="R150" s="66"/>
      <c r="S150" s="66"/>
      <c r="T150" s="66"/>
      <c r="U150" s="66"/>
      <c r="V150" s="67">
        <f t="shared" si="3"/>
        <v>0</v>
      </c>
    </row>
    <row r="151" spans="1:22" ht="15.75" x14ac:dyDescent="0.25">
      <c r="A151" s="19"/>
      <c r="B151" s="57"/>
      <c r="C151" s="65"/>
      <c r="D151" s="65" t="s">
        <v>115</v>
      </c>
      <c r="E151" s="70"/>
      <c r="F151" s="70"/>
      <c r="G151" s="70"/>
      <c r="H151" s="66"/>
      <c r="I151" s="66"/>
      <c r="J151" s="66"/>
      <c r="K151" s="53"/>
      <c r="L151" s="53"/>
      <c r="M151" s="53"/>
      <c r="N151" s="66"/>
      <c r="O151" s="66"/>
      <c r="P151" s="66"/>
      <c r="Q151" s="66"/>
      <c r="R151" s="66"/>
      <c r="S151" s="66"/>
      <c r="T151" s="66"/>
      <c r="U151" s="66"/>
      <c r="V151" s="67">
        <f t="shared" si="3"/>
        <v>0</v>
      </c>
    </row>
    <row r="152" spans="1:22" ht="15.75" x14ac:dyDescent="0.25">
      <c r="A152" s="19"/>
      <c r="B152" s="57"/>
      <c r="C152" s="65"/>
      <c r="D152" s="65"/>
      <c r="E152" s="70"/>
      <c r="F152" s="70"/>
      <c r="G152" s="70"/>
      <c r="H152" s="66"/>
      <c r="I152" s="66"/>
      <c r="J152" s="66"/>
      <c r="K152" s="53"/>
      <c r="L152" s="53"/>
      <c r="M152" s="53"/>
      <c r="N152" s="66"/>
      <c r="O152" s="66"/>
      <c r="P152" s="66"/>
      <c r="Q152" s="66"/>
      <c r="R152" s="66"/>
      <c r="S152" s="66"/>
      <c r="T152" s="66"/>
      <c r="U152" s="66"/>
      <c r="V152" s="67">
        <f t="shared" si="3"/>
        <v>0</v>
      </c>
    </row>
    <row r="153" spans="1:22" x14ac:dyDescent="0.25">
      <c r="A153" s="190"/>
      <c r="B153" s="190"/>
      <c r="C153" s="190"/>
      <c r="D153" s="190"/>
      <c r="E153" s="74">
        <f>SUM(E9:E152)</f>
        <v>1197229.43</v>
      </c>
      <c r="F153" s="74">
        <f t="shared" ref="F153:V153" si="4">SUM(F9:F152)</f>
        <v>787984.51</v>
      </c>
      <c r="G153" s="74">
        <f t="shared" si="4"/>
        <v>337374</v>
      </c>
      <c r="H153" s="74">
        <f t="shared" si="4"/>
        <v>0</v>
      </c>
      <c r="I153" s="74">
        <f t="shared" si="4"/>
        <v>139066.70000000001</v>
      </c>
      <c r="J153" s="74">
        <f t="shared" si="4"/>
        <v>913425.32999999961</v>
      </c>
      <c r="K153" s="74">
        <f t="shared" si="4"/>
        <v>1570709.5200000005</v>
      </c>
      <c r="L153" s="74">
        <f t="shared" si="4"/>
        <v>-6.3664629124104977E-12</v>
      </c>
      <c r="M153" s="74">
        <f t="shared" si="4"/>
        <v>0</v>
      </c>
      <c r="N153" s="74">
        <f t="shared" si="4"/>
        <v>0</v>
      </c>
      <c r="O153" s="74">
        <f t="shared" si="4"/>
        <v>0</v>
      </c>
      <c r="P153" s="74">
        <f t="shared" si="4"/>
        <v>6960</v>
      </c>
      <c r="Q153" s="74">
        <f t="shared" si="4"/>
        <v>68692.639999999999</v>
      </c>
      <c r="R153" s="74">
        <f t="shared" si="4"/>
        <v>77719.489999999991</v>
      </c>
      <c r="S153" s="74">
        <f t="shared" si="4"/>
        <v>112549.51</v>
      </c>
      <c r="T153" s="74">
        <f t="shared" si="4"/>
        <v>1431843.7699999998</v>
      </c>
      <c r="U153" s="74">
        <f t="shared" si="4"/>
        <v>3735939.44</v>
      </c>
      <c r="V153" s="74">
        <f t="shared" si="4"/>
        <v>10379494.34</v>
      </c>
    </row>
    <row r="154" spans="1:22" x14ac:dyDescent="0.25">
      <c r="V154" s="106" t="s">
        <v>136</v>
      </c>
    </row>
    <row r="158" spans="1:22" ht="15.75" x14ac:dyDescent="0.25">
      <c r="B158" s="75" t="s">
        <v>216</v>
      </c>
      <c r="C158" s="188" t="s">
        <v>217</v>
      </c>
      <c r="D158" s="188"/>
      <c r="H158" t="s">
        <v>218</v>
      </c>
    </row>
    <row r="159" spans="1:22" x14ac:dyDescent="0.25">
      <c r="A159" s="76"/>
      <c r="B159" s="78" t="s">
        <v>377</v>
      </c>
      <c r="C159" s="187" t="s">
        <v>219</v>
      </c>
      <c r="D159" s="187"/>
      <c r="E159" s="188" t="s">
        <v>220</v>
      </c>
      <c r="F159" s="188"/>
      <c r="G159" s="188"/>
      <c r="H159" s="188"/>
      <c r="I159" s="188"/>
      <c r="J159" s="79"/>
      <c r="K159" s="79"/>
      <c r="L159" s="80"/>
      <c r="M159" s="102"/>
      <c r="N159" s="111"/>
      <c r="O159" s="104"/>
      <c r="P159" s="114"/>
      <c r="Q159" s="120"/>
      <c r="R159" s="123"/>
      <c r="S159" s="125"/>
      <c r="T159" s="135"/>
      <c r="U159" s="137"/>
    </row>
    <row r="894" spans="7:7" x14ac:dyDescent="0.25">
      <c r="G894" t="e">
        <f>753501/C894</f>
        <v>#DIV/0!</v>
      </c>
    </row>
    <row r="2925" spans="9:9" x14ac:dyDescent="0.25">
      <c r="I2925">
        <v>450</v>
      </c>
    </row>
    <row r="2986" spans="7:7" x14ac:dyDescent="0.25">
      <c r="G2986">
        <v>600</v>
      </c>
    </row>
  </sheetData>
  <mergeCells count="5">
    <mergeCell ref="C159:D159"/>
    <mergeCell ref="E159:I159"/>
    <mergeCell ref="C158:D158"/>
    <mergeCell ref="E3:K3"/>
    <mergeCell ref="A153:D153"/>
  </mergeCells>
  <pageMargins left="0.25" right="0.25" top="0.75" bottom="0.75" header="0.3" footer="0.3"/>
  <pageSetup paperSize="5" scale="45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OBLIGACIONES</vt:lpstr>
      <vt:lpstr>ORIGEN INGRESOS HOSP-</vt:lpstr>
      <vt:lpstr>SERVICIOS PRESTADOS</vt:lpstr>
      <vt:lpstr>COMPROMISO DE DEUDA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Ynes Danilda Abreu Ureña</dc:creator>
  <cp:lastModifiedBy>user</cp:lastModifiedBy>
  <cp:lastPrinted>2025-10-02T15:45:31Z</cp:lastPrinted>
  <dcterms:created xsi:type="dcterms:W3CDTF">2021-03-11T12:14:44Z</dcterms:created>
  <dcterms:modified xsi:type="dcterms:W3CDTF">2025-11-04T16:06:17Z</dcterms:modified>
</cp:coreProperties>
</file>